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6075" windowWidth="17400" windowHeight="6120" tabRatio="410"/>
  </bookViews>
  <sheets>
    <sheet name="Growth" sheetId="1" r:id="rId1"/>
    <sheet name="Cruise Costs" sheetId="2" r:id="rId2"/>
    <sheet name="Retirement" sheetId="4" r:id="rId3"/>
    <sheet name="Other Calcs" sheetId="6" r:id="rId4"/>
    <sheet name="Constants" sheetId="3" r:id="rId5"/>
  </sheets>
  <definedNames>
    <definedName name="APR_on_Inv">Growth!$B$3</definedName>
    <definedName name="Boat_Bought_Year">Growth!$B$4</definedName>
    <definedName name="Boat_Cost">Growth!$B$12</definedName>
    <definedName name="Boat_Payment">Growth!$B$10</definedName>
    <definedName name="Boat_Term">Growth!$B$9</definedName>
    <definedName name="Cash_for_Boat">Growth!$B$6</definedName>
    <definedName name="CFW_401K">"$#REF!.$E$29"</definedName>
    <definedName name="College_count">'Other Calcs'!$A$1:$W$6</definedName>
    <definedName name="College_yr">Growth!$B$8</definedName>
    <definedName name="COlumbia">"$#REF!.$E$21"</definedName>
    <definedName name="Cost_of_boat">'Cruise Costs'!$A$20</definedName>
    <definedName name="ETRADE_Investment">"$#REF!.$E$19"</definedName>
    <definedName name="ETRADE_IRA">"$#REF!.$E$11"</definedName>
    <definedName name="Financed">'Cruise Costs'!$D$20</definedName>
    <definedName name="HCG_Sale">NA()</definedName>
    <definedName name="House_Sale_Net">Growth!$B$1</definedName>
    <definedName name="Kathy_SEP">"$#REF!.$E$39"</definedName>
    <definedName name="Monthly_estimate">'Cruise Costs'!$B$15</definedName>
    <definedName name="Months_of_saving">Growth!$B$11</definedName>
    <definedName name="_xlnm.Print_Area" localSheetId="0">Growth!$A$1:$AH$40</definedName>
    <definedName name="_xlnm.Print_Titles" localSheetId="0">(Growth!$A:$B,Growth!$15:$18)</definedName>
    <definedName name="Real_payment">'Cruise Costs'!$G$20</definedName>
    <definedName name="Socgen_401">"$#REF!.$E$6"</definedName>
    <definedName name="Socgen_401k">"$#REF!.$E$6"</definedName>
    <definedName name="Starting_Cash">Growth!$B$2</definedName>
    <definedName name="Term">'Cruise Costs'!$F$20</definedName>
    <definedName name="This_Year">Constants!$B$1</definedName>
    <definedName name="Year_of_Departure">Growth!$B$7</definedName>
    <definedName name="Years_Contrib">"$#REF!.$E$1"</definedName>
  </definedNames>
  <calcPr calcId="125725"/>
</workbook>
</file>

<file path=xl/calcChain.xml><?xml version="1.0" encoding="utf-8"?>
<calcChain xmlns="http://schemas.openxmlformats.org/spreadsheetml/2006/main">
  <c r="B1" i="3"/>
  <c r="E3" i="4" s="1"/>
  <c r="C2" i="2"/>
  <c r="C3"/>
  <c r="C4"/>
  <c r="C5"/>
  <c r="C6"/>
  <c r="C7"/>
  <c r="C8"/>
  <c r="C9"/>
  <c r="C10"/>
  <c r="C11"/>
  <c r="C12"/>
  <c r="C13"/>
  <c r="C14"/>
  <c r="B15"/>
  <c r="B40" i="1" s="1"/>
  <c r="C20" i="2"/>
  <c r="D20"/>
  <c r="G20" s="1"/>
  <c r="B10" i="1" s="1"/>
  <c r="I21" i="2"/>
  <c r="I22"/>
  <c r="I23" s="1"/>
  <c r="B9" i="1"/>
  <c r="B13"/>
  <c r="K18"/>
  <c r="L18" s="1"/>
  <c r="M18" s="1"/>
  <c r="C20"/>
  <c r="D20"/>
  <c r="E20"/>
  <c r="F20"/>
  <c r="A21"/>
  <c r="E21" s="1"/>
  <c r="B21"/>
  <c r="B22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C40"/>
  <c r="D40"/>
  <c r="E40"/>
  <c r="F40"/>
  <c r="C1" i="6"/>
  <c r="D1" s="1"/>
  <c r="E1" s="1"/>
  <c r="F1" s="1"/>
  <c r="G1" s="1"/>
  <c r="H1" s="1"/>
  <c r="I1" s="1"/>
  <c r="J1" s="1"/>
  <c r="K1" s="1"/>
  <c r="L1" s="1"/>
  <c r="M1" s="1"/>
  <c r="N1" s="1"/>
  <c r="O1" s="1"/>
  <c r="P1" s="1"/>
  <c r="Q1" s="1"/>
  <c r="R1" s="1"/>
  <c r="S1" s="1"/>
  <c r="T1" s="1"/>
  <c r="U1" s="1"/>
  <c r="V1" s="1"/>
  <c r="W1" s="1"/>
  <c r="C2"/>
  <c r="D2" s="1"/>
  <c r="C3"/>
  <c r="D3"/>
  <c r="E3" s="1"/>
  <c r="B4"/>
  <c r="B5"/>
  <c r="B6" s="1"/>
  <c r="C5"/>
  <c r="D5"/>
  <c r="F2" i="4"/>
  <c r="G2" s="1"/>
  <c r="H2" s="1"/>
  <c r="I2" s="1"/>
  <c r="J2" s="1"/>
  <c r="K2" s="1"/>
  <c r="L2" s="1"/>
  <c r="M2" s="1"/>
  <c r="N2" s="1"/>
  <c r="O2" s="1"/>
  <c r="P2" s="1"/>
  <c r="Q2" s="1"/>
  <c r="R2" s="1"/>
  <c r="S2" s="1"/>
  <c r="T2" s="1"/>
  <c r="U2" s="1"/>
  <c r="V2" s="1"/>
  <c r="W2" s="1"/>
  <c r="X2" s="1"/>
  <c r="Y2" s="1"/>
  <c r="Z2" s="1"/>
  <c r="AA2" s="1"/>
  <c r="AB2" s="1"/>
  <c r="AC2" s="1"/>
  <c r="AD2" s="1"/>
  <c r="AE2" s="1"/>
  <c r="AF2" s="1"/>
  <c r="AG2" s="1"/>
  <c r="AH2" s="1"/>
  <c r="AI2" s="1"/>
  <c r="AJ2" s="1"/>
  <c r="AK2" s="1"/>
  <c r="AL2" s="1"/>
  <c r="AM2" s="1"/>
  <c r="AN2" s="1"/>
  <c r="C3"/>
  <c r="C4"/>
  <c r="C5"/>
  <c r="C6"/>
  <c r="B7"/>
  <c r="O11"/>
  <c r="P11" s="1"/>
  <c r="O35" i="2" l="1"/>
  <c r="S21"/>
  <c r="J34"/>
  <c r="S32"/>
  <c r="B11" i="1"/>
  <c r="G21" s="1"/>
  <c r="H21" s="1"/>
  <c r="I21" s="1"/>
  <c r="J21" s="1"/>
  <c r="A5"/>
  <c r="S23" i="2"/>
  <c r="I24"/>
  <c r="C21" i="1"/>
  <c r="R35" i="2"/>
  <c r="O34"/>
  <c r="J33"/>
  <c r="K22"/>
  <c r="N20"/>
  <c r="S34"/>
  <c r="N33"/>
  <c r="K32"/>
  <c r="C15"/>
  <c r="K35"/>
  <c r="R33"/>
  <c r="O32"/>
  <c r="F3" i="4"/>
  <c r="G3" s="1"/>
  <c r="H3" s="1"/>
  <c r="E6"/>
  <c r="F6" s="1"/>
  <c r="E5"/>
  <c r="F5" s="1"/>
  <c r="G5" s="1"/>
  <c r="H5" s="1"/>
  <c r="I5" s="1"/>
  <c r="J5" s="1"/>
  <c r="K5" s="1"/>
  <c r="L5" s="1"/>
  <c r="M5" s="1"/>
  <c r="N5" s="1"/>
  <c r="O5" s="1"/>
  <c r="P5" s="1"/>
  <c r="Q5" s="1"/>
  <c r="R5" s="1"/>
  <c r="S5" s="1"/>
  <c r="T5" s="1"/>
  <c r="U5" s="1"/>
  <c r="V5" s="1"/>
  <c r="W5" s="1"/>
  <c r="X5" s="1"/>
  <c r="Y5" s="1"/>
  <c r="Z5" s="1"/>
  <c r="AA5" s="1"/>
  <c r="AB5" s="1"/>
  <c r="AC5" s="1"/>
  <c r="AD5" s="1"/>
  <c r="AE5" s="1"/>
  <c r="AF5" s="1"/>
  <c r="AG5" s="1"/>
  <c r="AH5" s="1"/>
  <c r="AI5" s="1"/>
  <c r="AJ5" s="1"/>
  <c r="AK5" s="1"/>
  <c r="AL5" s="1"/>
  <c r="AM5" s="1"/>
  <c r="AN5" s="1"/>
  <c r="E4"/>
  <c r="F4" s="1"/>
  <c r="G4" s="1"/>
  <c r="H4" s="1"/>
  <c r="I4" s="1"/>
  <c r="J4" s="1"/>
  <c r="K4" s="1"/>
  <c r="L4" s="1"/>
  <c r="M4" s="1"/>
  <c r="N4" s="1"/>
  <c r="O4" s="1"/>
  <c r="P4" s="1"/>
  <c r="Q4" s="1"/>
  <c r="R4" s="1"/>
  <c r="S4" s="1"/>
  <c r="T4" s="1"/>
  <c r="U4" s="1"/>
  <c r="V4" s="1"/>
  <c r="W4" s="1"/>
  <c r="X4" s="1"/>
  <c r="Y4" s="1"/>
  <c r="Z4" s="1"/>
  <c r="AA4" s="1"/>
  <c r="AB4" s="1"/>
  <c r="AC4" s="1"/>
  <c r="AD4" s="1"/>
  <c r="AE4" s="1"/>
  <c r="AF4" s="1"/>
  <c r="AG4" s="1"/>
  <c r="AH4" s="1"/>
  <c r="AI4" s="1"/>
  <c r="AJ4" s="1"/>
  <c r="AK4" s="1"/>
  <c r="AL4" s="1"/>
  <c r="AM4" s="1"/>
  <c r="AN4" s="1"/>
  <c r="B12" i="1"/>
  <c r="S35" i="2"/>
  <c r="T35" s="1"/>
  <c r="T36" s="1"/>
  <c r="N35"/>
  <c r="P35" s="1"/>
  <c r="P36" s="1"/>
  <c r="J35"/>
  <c r="R34"/>
  <c r="N34"/>
  <c r="P34" s="1"/>
  <c r="K34"/>
  <c r="L34" s="1"/>
  <c r="S33"/>
  <c r="O33"/>
  <c r="K33"/>
  <c r="R32"/>
  <c r="T32" s="1"/>
  <c r="N32"/>
  <c r="P32" s="1"/>
  <c r="J32"/>
  <c r="S24"/>
  <c r="K23"/>
  <c r="S22"/>
  <c r="K21"/>
  <c r="S20"/>
  <c r="J20"/>
  <c r="N24"/>
  <c r="J24"/>
  <c r="N23"/>
  <c r="J23"/>
  <c r="L23" s="1"/>
  <c r="N22"/>
  <c r="J22"/>
  <c r="N21"/>
  <c r="J21"/>
  <c r="R20"/>
  <c r="O20"/>
  <c r="K20"/>
  <c r="E5" i="6"/>
  <c r="F3"/>
  <c r="E2"/>
  <c r="D4"/>
  <c r="D6" s="1"/>
  <c r="N18" i="1"/>
  <c r="C4" i="6"/>
  <c r="C6" s="1"/>
  <c r="A22" i="1"/>
  <c r="K16"/>
  <c r="D21"/>
  <c r="F21"/>
  <c r="R24" i="2"/>
  <c r="O24"/>
  <c r="P24" s="1"/>
  <c r="R23"/>
  <c r="T23" s="1"/>
  <c r="O23"/>
  <c r="R22"/>
  <c r="O22"/>
  <c r="P22" s="1"/>
  <c r="R21"/>
  <c r="T21" s="1"/>
  <c r="O21"/>
  <c r="L20" l="1"/>
  <c r="L33"/>
  <c r="T33"/>
  <c r="T22"/>
  <c r="T24"/>
  <c r="L21"/>
  <c r="P33"/>
  <c r="L35"/>
  <c r="L36" s="1"/>
  <c r="G40" i="1"/>
  <c r="H40" s="1"/>
  <c r="I40" s="1"/>
  <c r="J40" s="1"/>
  <c r="G20"/>
  <c r="H20" s="1"/>
  <c r="I20" s="1"/>
  <c r="J20" s="1"/>
  <c r="P21" i="2"/>
  <c r="P23"/>
  <c r="P20"/>
  <c r="L22"/>
  <c r="L32"/>
  <c r="T34"/>
  <c r="I25"/>
  <c r="K24"/>
  <c r="L24" s="1"/>
  <c r="F7" i="4"/>
  <c r="T20" i="2"/>
  <c r="L16" i="1"/>
  <c r="K41"/>
  <c r="D22"/>
  <c r="F22"/>
  <c r="E22"/>
  <c r="A23"/>
  <c r="C22"/>
  <c r="G22"/>
  <c r="H22" s="1"/>
  <c r="I22" s="1"/>
  <c r="J22" s="1"/>
  <c r="G3" i="6"/>
  <c r="F5"/>
  <c r="G6" i="4"/>
  <c r="O18" i="1"/>
  <c r="F2" i="6"/>
  <c r="E4"/>
  <c r="E6" s="1"/>
  <c r="I3" i="4"/>
  <c r="S25" i="2" l="1"/>
  <c r="I26"/>
  <c r="J25"/>
  <c r="N25"/>
  <c r="K25"/>
  <c r="O25"/>
  <c r="R25"/>
  <c r="P18" i="1"/>
  <c r="D23"/>
  <c r="F23"/>
  <c r="C23"/>
  <c r="G23"/>
  <c r="H23" s="1"/>
  <c r="I23" s="1"/>
  <c r="J23" s="1"/>
  <c r="E23"/>
  <c r="A24"/>
  <c r="J3" i="4"/>
  <c r="G2" i="6"/>
  <c r="F4"/>
  <c r="F6" s="1"/>
  <c r="G7" i="4"/>
  <c r="L41" i="1" s="1"/>
  <c r="H6" i="4"/>
  <c r="G5" i="6"/>
  <c r="H3"/>
  <c r="M16" i="1"/>
  <c r="P25" i="2" l="1"/>
  <c r="T25"/>
  <c r="L25"/>
  <c r="I27"/>
  <c r="S26"/>
  <c r="K26"/>
  <c r="N26"/>
  <c r="R26"/>
  <c r="J26"/>
  <c r="O26"/>
  <c r="I3" i="6"/>
  <c r="H5"/>
  <c r="I6" i="4"/>
  <c r="H7"/>
  <c r="N16" i="1"/>
  <c r="M41"/>
  <c r="H2" i="6"/>
  <c r="G4"/>
  <c r="G6" s="1"/>
  <c r="K3" i="4"/>
  <c r="D24" i="1"/>
  <c r="F24"/>
  <c r="E24"/>
  <c r="A25"/>
  <c r="C24"/>
  <c r="G24"/>
  <c r="H24" s="1"/>
  <c r="I24" s="1"/>
  <c r="J24" s="1"/>
  <c r="Q18"/>
  <c r="L26" i="2" l="1"/>
  <c r="P26"/>
  <c r="I28"/>
  <c r="S27"/>
  <c r="K27"/>
  <c r="R27"/>
  <c r="J27"/>
  <c r="N27"/>
  <c r="O27"/>
  <c r="T26"/>
  <c r="R18" i="1"/>
  <c r="D25"/>
  <c r="F25"/>
  <c r="C25"/>
  <c r="G25"/>
  <c r="H25" s="1"/>
  <c r="I25" s="1"/>
  <c r="J25" s="1"/>
  <c r="E25"/>
  <c r="A26"/>
  <c r="J6" i="4"/>
  <c r="I7"/>
  <c r="N41" i="1" s="1"/>
  <c r="I5" i="6"/>
  <c r="J3"/>
  <c r="L3" i="4"/>
  <c r="I2" i="6"/>
  <c r="H4"/>
  <c r="H6" s="1"/>
  <c r="O16" i="1"/>
  <c r="K15" l="1"/>
  <c r="T27" i="2"/>
  <c r="P27"/>
  <c r="L27"/>
  <c r="K28"/>
  <c r="I29"/>
  <c r="S28"/>
  <c r="J28"/>
  <c r="N28"/>
  <c r="O28"/>
  <c r="R28"/>
  <c r="T28" s="1"/>
  <c r="S18" i="1"/>
  <c r="K3" i="6"/>
  <c r="J5"/>
  <c r="D26" i="1"/>
  <c r="F26"/>
  <c r="E26"/>
  <c r="A27"/>
  <c r="C26"/>
  <c r="G26"/>
  <c r="H26" s="1"/>
  <c r="I26" s="1"/>
  <c r="J26" s="1"/>
  <c r="P16"/>
  <c r="J2" i="6"/>
  <c r="I4"/>
  <c r="I6" s="1"/>
  <c r="M3" i="4"/>
  <c r="K6"/>
  <c r="J7"/>
  <c r="O41" i="1" s="1"/>
  <c r="P28" i="2" l="1"/>
  <c r="L15" i="1"/>
  <c r="K21"/>
  <c r="K20"/>
  <c r="K22"/>
  <c r="K40"/>
  <c r="K23"/>
  <c r="K24"/>
  <c r="K26"/>
  <c r="K25"/>
  <c r="L25" s="1"/>
  <c r="L28" i="2"/>
  <c r="S29"/>
  <c r="K29"/>
  <c r="I30"/>
  <c r="R29"/>
  <c r="N29"/>
  <c r="J29"/>
  <c r="O29"/>
  <c r="D27" i="1"/>
  <c r="F27"/>
  <c r="C27"/>
  <c r="G27"/>
  <c r="H27" s="1"/>
  <c r="I27" s="1"/>
  <c r="J27" s="1"/>
  <c r="K27" s="1"/>
  <c r="E27"/>
  <c r="A28"/>
  <c r="T18"/>
  <c r="L6" i="4"/>
  <c r="K7"/>
  <c r="N3"/>
  <c r="K2" i="6"/>
  <c r="J4"/>
  <c r="J6" s="1"/>
  <c r="Q16" i="1"/>
  <c r="P41"/>
  <c r="K5" i="6"/>
  <c r="L3"/>
  <c r="L27" i="1" l="1"/>
  <c r="L26"/>
  <c r="L22"/>
  <c r="L24"/>
  <c r="L20"/>
  <c r="M15"/>
  <c r="M26" s="1"/>
  <c r="L40"/>
  <c r="K42"/>
  <c r="L23"/>
  <c r="L21"/>
  <c r="T29" i="2"/>
  <c r="L29"/>
  <c r="I31"/>
  <c r="S30"/>
  <c r="K30"/>
  <c r="N30"/>
  <c r="R30"/>
  <c r="T30" s="1"/>
  <c r="J30"/>
  <c r="O30"/>
  <c r="P29"/>
  <c r="M3" i="6"/>
  <c r="L5"/>
  <c r="R16" i="1"/>
  <c r="Q41"/>
  <c r="L2" i="6"/>
  <c r="K4"/>
  <c r="K6" s="1"/>
  <c r="O3" i="4"/>
  <c r="M6"/>
  <c r="L7"/>
  <c r="U18" i="1"/>
  <c r="D28"/>
  <c r="F28"/>
  <c r="E28"/>
  <c r="A29"/>
  <c r="C28"/>
  <c r="G28"/>
  <c r="H28" s="1"/>
  <c r="I28" s="1"/>
  <c r="J28" s="1"/>
  <c r="K28" s="1"/>
  <c r="L28" s="1"/>
  <c r="M24" l="1"/>
  <c r="M21"/>
  <c r="M23"/>
  <c r="M28"/>
  <c r="M25"/>
  <c r="M22"/>
  <c r="M27"/>
  <c r="N15"/>
  <c r="N26" s="1"/>
  <c r="M20"/>
  <c r="M40"/>
  <c r="L42"/>
  <c r="P30" i="2"/>
  <c r="L30"/>
  <c r="S31"/>
  <c r="K31"/>
  <c r="L31" s="1"/>
  <c r="R31"/>
  <c r="J31"/>
  <c r="O31"/>
  <c r="N31"/>
  <c r="D29" i="1"/>
  <c r="F29"/>
  <c r="C29"/>
  <c r="G29"/>
  <c r="H29" s="1"/>
  <c r="I29" s="1"/>
  <c r="J29" s="1"/>
  <c r="K29" s="1"/>
  <c r="L29" s="1"/>
  <c r="M29" s="1"/>
  <c r="E29"/>
  <c r="A30"/>
  <c r="N6" i="4"/>
  <c r="M7"/>
  <c r="P3"/>
  <c r="M2" i="6"/>
  <c r="L4"/>
  <c r="L6" s="1"/>
  <c r="S16" i="1"/>
  <c r="R41"/>
  <c r="M5" i="6"/>
  <c r="N3"/>
  <c r="V18" i="1"/>
  <c r="N29" l="1"/>
  <c r="N28"/>
  <c r="N21"/>
  <c r="N23"/>
  <c r="N25"/>
  <c r="N27"/>
  <c r="N24"/>
  <c r="O15"/>
  <c r="N40"/>
  <c r="M42"/>
  <c r="N20"/>
  <c r="N22"/>
  <c r="O22" s="1"/>
  <c r="T31" i="2"/>
  <c r="P31"/>
  <c r="W18" i="1"/>
  <c r="O3" i="6"/>
  <c r="N5"/>
  <c r="T16" i="1"/>
  <c r="S41"/>
  <c r="N2" i="6"/>
  <c r="M4"/>
  <c r="M6" s="1"/>
  <c r="Q3" i="4"/>
  <c r="O6"/>
  <c r="N7"/>
  <c r="D30" i="1"/>
  <c r="F30"/>
  <c r="C30"/>
  <c r="E30"/>
  <c r="G30"/>
  <c r="H30" s="1"/>
  <c r="I30" s="1"/>
  <c r="J30" s="1"/>
  <c r="K30" s="1"/>
  <c r="L30" s="1"/>
  <c r="M30" s="1"/>
  <c r="N30" s="1"/>
  <c r="A31"/>
  <c r="O30" l="1"/>
  <c r="O29"/>
  <c r="O23"/>
  <c r="O26"/>
  <c r="O21"/>
  <c r="P15"/>
  <c r="P29" s="1"/>
  <c r="O20"/>
  <c r="O25"/>
  <c r="O28"/>
  <c r="O40"/>
  <c r="N42"/>
  <c r="O24"/>
  <c r="O27"/>
  <c r="D31"/>
  <c r="F31"/>
  <c r="C31"/>
  <c r="E31"/>
  <c r="G31"/>
  <c r="H31" s="1"/>
  <c r="I31" s="1"/>
  <c r="J31" s="1"/>
  <c r="K31" s="1"/>
  <c r="L31" s="1"/>
  <c r="M31" s="1"/>
  <c r="N31" s="1"/>
  <c r="O31" s="1"/>
  <c r="P31" s="1"/>
  <c r="A32"/>
  <c r="P6" i="4"/>
  <c r="O7"/>
  <c r="R3"/>
  <c r="O2" i="6"/>
  <c r="N4"/>
  <c r="N6" s="1"/>
  <c r="U16" i="1"/>
  <c r="T41"/>
  <c r="O5" i="6"/>
  <c r="P3"/>
  <c r="X18" i="1"/>
  <c r="P20" l="1"/>
  <c r="P25"/>
  <c r="P23"/>
  <c r="P27"/>
  <c r="P28"/>
  <c r="P30"/>
  <c r="P24"/>
  <c r="P26"/>
  <c r="Q15"/>
  <c r="P40"/>
  <c r="O42"/>
  <c r="P22"/>
  <c r="P21"/>
  <c r="Q3" i="6"/>
  <c r="P5"/>
  <c r="D32" i="1"/>
  <c r="F32"/>
  <c r="C32"/>
  <c r="E32"/>
  <c r="G32"/>
  <c r="H32" s="1"/>
  <c r="I32" s="1"/>
  <c r="J32" s="1"/>
  <c r="K32" s="1"/>
  <c r="L32" s="1"/>
  <c r="M32" s="1"/>
  <c r="N32" s="1"/>
  <c r="O32" s="1"/>
  <c r="P32" s="1"/>
  <c r="Q32" s="1"/>
  <c r="A33"/>
  <c r="Y18"/>
  <c r="V16"/>
  <c r="P2" i="6"/>
  <c r="O4"/>
  <c r="O6" s="1"/>
  <c r="S3" i="4"/>
  <c r="Q6"/>
  <c r="P7"/>
  <c r="U41" i="1" s="1"/>
  <c r="Q22" l="1"/>
  <c r="Q23"/>
  <c r="Q26"/>
  <c r="Q27"/>
  <c r="Q21"/>
  <c r="Q31"/>
  <c r="Q29"/>
  <c r="R15"/>
  <c r="Q25"/>
  <c r="Q20"/>
  <c r="Q28"/>
  <c r="Q30"/>
  <c r="Q40"/>
  <c r="P42"/>
  <c r="Q24"/>
  <c r="R6" i="4"/>
  <c r="Q7"/>
  <c r="V41" i="1" s="1"/>
  <c r="T3" i="4"/>
  <c r="Q2" i="6"/>
  <c r="P4"/>
  <c r="P6" s="1"/>
  <c r="W16" i="1"/>
  <c r="Z18"/>
  <c r="D33"/>
  <c r="F33"/>
  <c r="C33"/>
  <c r="E33"/>
  <c r="G33"/>
  <c r="H33" s="1"/>
  <c r="I33" s="1"/>
  <c r="J33" s="1"/>
  <c r="K33" s="1"/>
  <c r="L33" s="1"/>
  <c r="M33" s="1"/>
  <c r="N33" s="1"/>
  <c r="O33" s="1"/>
  <c r="P33" s="1"/>
  <c r="Q33" s="1"/>
  <c r="R33" s="1"/>
  <c r="A34"/>
  <c r="Q5" i="6"/>
  <c r="R3"/>
  <c r="R26" i="1" l="1"/>
  <c r="R31"/>
  <c r="R32"/>
  <c r="R29"/>
  <c r="R27"/>
  <c r="R28"/>
  <c r="R22"/>
  <c r="R25"/>
  <c r="R23"/>
  <c r="R24"/>
  <c r="R30"/>
  <c r="R20"/>
  <c r="S15"/>
  <c r="R40"/>
  <c r="Q42"/>
  <c r="R21"/>
  <c r="S3" i="6"/>
  <c r="R5"/>
  <c r="D34" i="1"/>
  <c r="F34"/>
  <c r="C34"/>
  <c r="E34"/>
  <c r="G34"/>
  <c r="H34" s="1"/>
  <c r="I34" s="1"/>
  <c r="J34" s="1"/>
  <c r="K34" s="1"/>
  <c r="L34" s="1"/>
  <c r="M34" s="1"/>
  <c r="N34" s="1"/>
  <c r="O34" s="1"/>
  <c r="P34" s="1"/>
  <c r="Q34" s="1"/>
  <c r="R34" s="1"/>
  <c r="A35"/>
  <c r="AA18"/>
  <c r="X16"/>
  <c r="R2" i="6"/>
  <c r="Q4"/>
  <c r="Q6" s="1"/>
  <c r="U3" i="4"/>
  <c r="S6"/>
  <c r="R7"/>
  <c r="W41" i="1" s="1"/>
  <c r="S27" l="1"/>
  <c r="S22"/>
  <c r="S20"/>
  <c r="S25"/>
  <c r="S29"/>
  <c r="S30"/>
  <c r="S31"/>
  <c r="S32"/>
  <c r="S26"/>
  <c r="S33"/>
  <c r="S34"/>
  <c r="S24"/>
  <c r="S21"/>
  <c r="S28"/>
  <c r="S40"/>
  <c r="R42"/>
  <c r="T15"/>
  <c r="S23"/>
  <c r="S5" i="6"/>
  <c r="T3"/>
  <c r="AB18" i="1"/>
  <c r="T6" i="4"/>
  <c r="S7"/>
  <c r="X41" i="1" s="1"/>
  <c r="V3" i="4"/>
  <c r="S2" i="6"/>
  <c r="R4"/>
  <c r="R6" s="1"/>
  <c r="Y16" i="1"/>
  <c r="D35"/>
  <c r="F35"/>
  <c r="C35"/>
  <c r="E35"/>
  <c r="G35"/>
  <c r="H35" s="1"/>
  <c r="I35" s="1"/>
  <c r="J35" s="1"/>
  <c r="K35" s="1"/>
  <c r="L35" s="1"/>
  <c r="M35" s="1"/>
  <c r="N35" s="1"/>
  <c r="O35" s="1"/>
  <c r="P35" s="1"/>
  <c r="Q35" s="1"/>
  <c r="R35" s="1"/>
  <c r="S35" s="1"/>
  <c r="T35" s="1"/>
  <c r="A36"/>
  <c r="T23" l="1"/>
  <c r="T25"/>
  <c r="T20"/>
  <c r="T21"/>
  <c r="T29"/>
  <c r="T26"/>
  <c r="T30"/>
  <c r="T31"/>
  <c r="T34"/>
  <c r="T27"/>
  <c r="T28"/>
  <c r="T32"/>
  <c r="T22"/>
  <c r="T33"/>
  <c r="T40"/>
  <c r="S42"/>
  <c r="U15"/>
  <c r="T24"/>
  <c r="Z16"/>
  <c r="T2" i="6"/>
  <c r="S4"/>
  <c r="S6" s="1"/>
  <c r="W3" i="4"/>
  <c r="U6"/>
  <c r="T7"/>
  <c r="Y41" i="1" s="1"/>
  <c r="U3" i="6"/>
  <c r="T5"/>
  <c r="C36" i="1"/>
  <c r="E36"/>
  <c r="G36"/>
  <c r="H36" s="1"/>
  <c r="I36" s="1"/>
  <c r="J36" s="1"/>
  <c r="K36" s="1"/>
  <c r="L36" s="1"/>
  <c r="M36" s="1"/>
  <c r="N36" s="1"/>
  <c r="O36" s="1"/>
  <c r="P36" s="1"/>
  <c r="Q36" s="1"/>
  <c r="R36" s="1"/>
  <c r="S36" s="1"/>
  <c r="T36" s="1"/>
  <c r="U36" s="1"/>
  <c r="A37"/>
  <c r="D36"/>
  <c r="F36"/>
  <c r="AC18"/>
  <c r="U20" l="1"/>
  <c r="U22"/>
  <c r="U34"/>
  <c r="U23"/>
  <c r="U25"/>
  <c r="U32"/>
  <c r="U31"/>
  <c r="U30"/>
  <c r="U40"/>
  <c r="T42"/>
  <c r="U28"/>
  <c r="U29"/>
  <c r="U33"/>
  <c r="U27"/>
  <c r="V15"/>
  <c r="V34" s="1"/>
  <c r="U24"/>
  <c r="U26"/>
  <c r="U35"/>
  <c r="U21"/>
  <c r="U5" i="6"/>
  <c r="V3"/>
  <c r="V6" i="4"/>
  <c r="U7"/>
  <c r="Z41" i="1" s="1"/>
  <c r="X3" i="4"/>
  <c r="U2" i="6"/>
  <c r="T4"/>
  <c r="T6" s="1"/>
  <c r="AA16" i="1"/>
  <c r="AD18"/>
  <c r="C37"/>
  <c r="E37"/>
  <c r="G37"/>
  <c r="H37" s="1"/>
  <c r="I37" s="1"/>
  <c r="J37" s="1"/>
  <c r="K37" s="1"/>
  <c r="L37" s="1"/>
  <c r="M37" s="1"/>
  <c r="N37" s="1"/>
  <c r="O37" s="1"/>
  <c r="P37" s="1"/>
  <c r="Q37" s="1"/>
  <c r="R37" s="1"/>
  <c r="S37" s="1"/>
  <c r="T37" s="1"/>
  <c r="U37" s="1"/>
  <c r="V37" s="1"/>
  <c r="A38"/>
  <c r="D37"/>
  <c r="F37"/>
  <c r="V35" l="1"/>
  <c r="V26"/>
  <c r="V21"/>
  <c r="V22"/>
  <c r="V23"/>
  <c r="V20"/>
  <c r="V25"/>
  <c r="V33"/>
  <c r="W15"/>
  <c r="W34" s="1"/>
  <c r="V29"/>
  <c r="V30"/>
  <c r="V36"/>
  <c r="V24"/>
  <c r="V27"/>
  <c r="V32"/>
  <c r="V40"/>
  <c r="U42"/>
  <c r="V28"/>
  <c r="V31"/>
  <c r="W3" i="6"/>
  <c r="W5" s="1"/>
  <c r="V5"/>
  <c r="C38" i="1"/>
  <c r="E38"/>
  <c r="G38"/>
  <c r="H38" s="1"/>
  <c r="I38" s="1"/>
  <c r="J38" s="1"/>
  <c r="K38" s="1"/>
  <c r="L38" s="1"/>
  <c r="M38" s="1"/>
  <c r="N38" s="1"/>
  <c r="O38" s="1"/>
  <c r="P38" s="1"/>
  <c r="Q38" s="1"/>
  <c r="R38" s="1"/>
  <c r="S38" s="1"/>
  <c r="T38" s="1"/>
  <c r="U38" s="1"/>
  <c r="V38" s="1"/>
  <c r="W38" s="1"/>
  <c r="D38"/>
  <c r="A39"/>
  <c r="F38"/>
  <c r="AE18"/>
  <c r="AB16"/>
  <c r="V2" i="6"/>
  <c r="U4"/>
  <c r="U6" s="1"/>
  <c r="Y3" i="4"/>
  <c r="W6"/>
  <c r="V7"/>
  <c r="AA41" i="1" s="1"/>
  <c r="W32" l="1"/>
  <c r="W33"/>
  <c r="W22"/>
  <c r="W21"/>
  <c r="W26"/>
  <c r="W27"/>
  <c r="W30"/>
  <c r="W24"/>
  <c r="W29"/>
  <c r="W23"/>
  <c r="W28"/>
  <c r="W37"/>
  <c r="W35"/>
  <c r="W20"/>
  <c r="W36"/>
  <c r="W40"/>
  <c r="V42"/>
  <c r="X15"/>
  <c r="W31"/>
  <c r="W25"/>
  <c r="AF18"/>
  <c r="C39"/>
  <c r="E39"/>
  <c r="G39"/>
  <c r="H39" s="1"/>
  <c r="I39" s="1"/>
  <c r="J39" s="1"/>
  <c r="K39" s="1"/>
  <c r="L39" s="1"/>
  <c r="M39" s="1"/>
  <c r="N39" s="1"/>
  <c r="O39" s="1"/>
  <c r="P39" s="1"/>
  <c r="Q39" s="1"/>
  <c r="R39" s="1"/>
  <c r="S39" s="1"/>
  <c r="T39" s="1"/>
  <c r="U39" s="1"/>
  <c r="V39" s="1"/>
  <c r="W39" s="1"/>
  <c r="D39"/>
  <c r="F39"/>
  <c r="X6" i="4"/>
  <c r="W7"/>
  <c r="AB41" i="1" s="1"/>
  <c r="Z3" i="4"/>
  <c r="W2" i="6"/>
  <c r="W4" s="1"/>
  <c r="W6" s="1"/>
  <c r="AC15" i="1" s="1"/>
  <c r="V4" i="6"/>
  <c r="V6" s="1"/>
  <c r="AC16" i="1"/>
  <c r="X39" l="1"/>
  <c r="X20"/>
  <c r="X31"/>
  <c r="X36"/>
  <c r="AD15"/>
  <c r="Y15"/>
  <c r="X27"/>
  <c r="X29"/>
  <c r="X38"/>
  <c r="X22"/>
  <c r="Y22" s="1"/>
  <c r="X26"/>
  <c r="X40"/>
  <c r="W42"/>
  <c r="X28"/>
  <c r="Y28" s="1"/>
  <c r="X32"/>
  <c r="X30"/>
  <c r="X24"/>
  <c r="X33"/>
  <c r="Y33" s="1"/>
  <c r="X37"/>
  <c r="AE15"/>
  <c r="Z15"/>
  <c r="AA15"/>
  <c r="AB15"/>
  <c r="X34"/>
  <c r="X25"/>
  <c r="X21"/>
  <c r="Y21" s="1"/>
  <c r="X23"/>
  <c r="X35"/>
  <c r="Y35" s="1"/>
  <c r="Z35" s="1"/>
  <c r="AD16"/>
  <c r="AA3" i="4"/>
  <c r="Y6"/>
  <c r="X7"/>
  <c r="AC41" i="1" s="1"/>
  <c r="AF15"/>
  <c r="AG18"/>
  <c r="Y34" l="1"/>
  <c r="Z34" s="1"/>
  <c r="Y30"/>
  <c r="Y36"/>
  <c r="Y29"/>
  <c r="Y25"/>
  <c r="Z25" s="1"/>
  <c r="AA25" s="1"/>
  <c r="AB25" s="1"/>
  <c r="AC25" s="1"/>
  <c r="AD25" s="1"/>
  <c r="AE25" s="1"/>
  <c r="Y24"/>
  <c r="Z24" s="1"/>
  <c r="AA24" s="1"/>
  <c r="AB24" s="1"/>
  <c r="AC24" s="1"/>
  <c r="AD24" s="1"/>
  <c r="AE24" s="1"/>
  <c r="AF24" s="1"/>
  <c r="Y38"/>
  <c r="Y39"/>
  <c r="Y20"/>
  <c r="Z20" s="1"/>
  <c r="AA20" s="1"/>
  <c r="AB20" s="1"/>
  <c r="AC20" s="1"/>
  <c r="AD20" s="1"/>
  <c r="AE20" s="1"/>
  <c r="AF20" s="1"/>
  <c r="Y23"/>
  <c r="Z23" s="1"/>
  <c r="AA23" s="1"/>
  <c r="AB23" s="1"/>
  <c r="AC23" s="1"/>
  <c r="AD23" s="1"/>
  <c r="AE23" s="1"/>
  <c r="AF23" s="1"/>
  <c r="Y37"/>
  <c r="Y32"/>
  <c r="Y31"/>
  <c r="Z31" s="1"/>
  <c r="AA31" s="1"/>
  <c r="AB31" s="1"/>
  <c r="AC31" s="1"/>
  <c r="AD31" s="1"/>
  <c r="AE31" s="1"/>
  <c r="AF31" s="1"/>
  <c r="Y26"/>
  <c r="Z26" s="1"/>
  <c r="AA26" s="1"/>
  <c r="AB26" s="1"/>
  <c r="AC26" s="1"/>
  <c r="AD26" s="1"/>
  <c r="AE26" s="1"/>
  <c r="AF26" s="1"/>
  <c r="Y27"/>
  <c r="Z27" s="1"/>
  <c r="AA27" s="1"/>
  <c r="AB27" s="1"/>
  <c r="AC27" s="1"/>
  <c r="AD27" s="1"/>
  <c r="AE27" s="1"/>
  <c r="AF27" s="1"/>
  <c r="AA35"/>
  <c r="AB35" s="1"/>
  <c r="AC35" s="1"/>
  <c r="AD35" s="1"/>
  <c r="AE35" s="1"/>
  <c r="AF35" s="1"/>
  <c r="AA34"/>
  <c r="AB34" s="1"/>
  <c r="AC34" s="1"/>
  <c r="AD34" s="1"/>
  <c r="AE34" s="1"/>
  <c r="AF34" s="1"/>
  <c r="Z21"/>
  <c r="AA21" s="1"/>
  <c r="AB21" s="1"/>
  <c r="AC21" s="1"/>
  <c r="AD21" s="1"/>
  <c r="AE21" s="1"/>
  <c r="AF21" s="1"/>
  <c r="Z30"/>
  <c r="AA30" s="1"/>
  <c r="AB30" s="1"/>
  <c r="AC30" s="1"/>
  <c r="AD30" s="1"/>
  <c r="AE30" s="1"/>
  <c r="AF30" s="1"/>
  <c r="Z39"/>
  <c r="AA39" s="1"/>
  <c r="AB39" s="1"/>
  <c r="AC39" s="1"/>
  <c r="AD39" s="1"/>
  <c r="AE39" s="1"/>
  <c r="AF39" s="1"/>
  <c r="Z22"/>
  <c r="AA22" s="1"/>
  <c r="AB22" s="1"/>
  <c r="AC22" s="1"/>
  <c r="AD22" s="1"/>
  <c r="AE22" s="1"/>
  <c r="AF22" s="1"/>
  <c r="Z36"/>
  <c r="AA36" s="1"/>
  <c r="AB36" s="1"/>
  <c r="AC36" s="1"/>
  <c r="AD36" s="1"/>
  <c r="AE36" s="1"/>
  <c r="AF36" s="1"/>
  <c r="Y40"/>
  <c r="X42"/>
  <c r="Z33"/>
  <c r="AA33" s="1"/>
  <c r="AB33" s="1"/>
  <c r="AC33" s="1"/>
  <c r="AD33" s="1"/>
  <c r="AE33" s="1"/>
  <c r="AF33" s="1"/>
  <c r="Z28"/>
  <c r="AA28" s="1"/>
  <c r="AB28" s="1"/>
  <c r="AC28" s="1"/>
  <c r="AD28" s="1"/>
  <c r="AE28" s="1"/>
  <c r="AF28" s="1"/>
  <c r="Z29"/>
  <c r="AA29" s="1"/>
  <c r="AB29" s="1"/>
  <c r="AC29" s="1"/>
  <c r="AD29" s="1"/>
  <c r="AE29" s="1"/>
  <c r="AF29" s="1"/>
  <c r="Z37"/>
  <c r="AA37" s="1"/>
  <c r="AB37" s="1"/>
  <c r="AC37" s="1"/>
  <c r="AD37" s="1"/>
  <c r="AE37" s="1"/>
  <c r="AF37" s="1"/>
  <c r="Z32"/>
  <c r="AA32" s="1"/>
  <c r="AB32" s="1"/>
  <c r="AC32" s="1"/>
  <c r="AD32" s="1"/>
  <c r="AE32" s="1"/>
  <c r="AF32" s="1"/>
  <c r="Z38"/>
  <c r="AA38" s="1"/>
  <c r="AB38" s="1"/>
  <c r="AC38" s="1"/>
  <c r="AD38" s="1"/>
  <c r="AE38" s="1"/>
  <c r="AF38" s="1"/>
  <c r="AF25"/>
  <c r="AH18"/>
  <c r="AG15"/>
  <c r="Z6" i="4"/>
  <c r="Y7"/>
  <c r="AD41" i="1" s="1"/>
  <c r="AB3" i="4"/>
  <c r="AE16" i="1"/>
  <c r="Z40" l="1"/>
  <c r="Y42"/>
  <c r="AG20"/>
  <c r="AG37"/>
  <c r="AG38"/>
  <c r="AG31"/>
  <c r="AG39"/>
  <c r="AG30"/>
  <c r="AG33"/>
  <c r="AG32"/>
  <c r="AG35"/>
  <c r="AG34"/>
  <c r="AG27"/>
  <c r="AG36"/>
  <c r="AG23"/>
  <c r="AG29"/>
  <c r="AG25"/>
  <c r="AG21"/>
  <c r="AH15"/>
  <c r="AI18"/>
  <c r="AG26"/>
  <c r="AG22"/>
  <c r="AF16"/>
  <c r="AC3" i="4"/>
  <c r="AA6"/>
  <c r="Z7"/>
  <c r="AE41" i="1" s="1"/>
  <c r="AG28"/>
  <c r="AG24"/>
  <c r="AH20" l="1"/>
  <c r="AA40"/>
  <c r="Z42"/>
  <c r="AH22"/>
  <c r="AH36"/>
  <c r="AH32"/>
  <c r="AH31"/>
  <c r="AH34"/>
  <c r="AH37"/>
  <c r="AH24"/>
  <c r="AH26"/>
  <c r="AH27"/>
  <c r="AH33"/>
  <c r="AH38"/>
  <c r="AH35"/>
  <c r="AH28"/>
  <c r="AH39"/>
  <c r="AH29"/>
  <c r="AH30"/>
  <c r="AH23"/>
  <c r="AH25"/>
  <c r="AH21"/>
  <c r="AJ18"/>
  <c r="AI15"/>
  <c r="AB6" i="4"/>
  <c r="AA7"/>
  <c r="AF41" i="1" s="1"/>
  <c r="AD3" i="4"/>
  <c r="AG16" i="1"/>
  <c r="AB40" l="1"/>
  <c r="AA42"/>
  <c r="AI29"/>
  <c r="AI21"/>
  <c r="AI36"/>
  <c r="AI32"/>
  <c r="AI33"/>
  <c r="AI38"/>
  <c r="AI28"/>
  <c r="AI20"/>
  <c r="AI30"/>
  <c r="AI22"/>
  <c r="AI31"/>
  <c r="AI35"/>
  <c r="AI37"/>
  <c r="AI24"/>
  <c r="AI25"/>
  <c r="AI34"/>
  <c r="AI39"/>
  <c r="AI26"/>
  <c r="AI27"/>
  <c r="AI23"/>
  <c r="AJ15"/>
  <c r="AK18"/>
  <c r="AH16"/>
  <c r="AE3" i="4"/>
  <c r="AC6"/>
  <c r="AB7"/>
  <c r="AG41" i="1" s="1"/>
  <c r="AC40" l="1"/>
  <c r="AB42"/>
  <c r="AJ20"/>
  <c r="AJ39"/>
  <c r="AJ37"/>
  <c r="AJ36"/>
  <c r="AJ35"/>
  <c r="AJ34"/>
  <c r="AJ38"/>
  <c r="AJ30"/>
  <c r="AJ32"/>
  <c r="AJ27"/>
  <c r="AJ23"/>
  <c r="AJ33"/>
  <c r="AJ31"/>
  <c r="AJ29"/>
  <c r="AJ25"/>
  <c r="AJ28"/>
  <c r="AJ26"/>
  <c r="AJ24"/>
  <c r="AJ21"/>
  <c r="AL18"/>
  <c r="AK15"/>
  <c r="AK20" s="1"/>
  <c r="AD6" i="4"/>
  <c r="AC7"/>
  <c r="AH41" i="1" s="1"/>
  <c r="AF3" i="4"/>
  <c r="AI16" i="1"/>
  <c r="AJ22"/>
  <c r="AD40" l="1"/>
  <c r="AC42"/>
  <c r="AK37"/>
  <c r="AK32"/>
  <c r="AK22"/>
  <c r="AK38"/>
  <c r="AK39"/>
  <c r="AK30"/>
  <c r="AK35"/>
  <c r="AK31"/>
  <c r="AK33"/>
  <c r="AK29"/>
  <c r="AK34"/>
  <c r="AK36"/>
  <c r="AK27"/>
  <c r="AK25"/>
  <c r="AK23"/>
  <c r="AL15"/>
  <c r="AL20" s="1"/>
  <c r="AM18"/>
  <c r="AK26"/>
  <c r="AJ16"/>
  <c r="AG3" i="4"/>
  <c r="AE6"/>
  <c r="AD7"/>
  <c r="AI41" i="1" s="1"/>
  <c r="AK21"/>
  <c r="AK28"/>
  <c r="AK24"/>
  <c r="AL28" l="1"/>
  <c r="AE40"/>
  <c r="AD42"/>
  <c r="AL21"/>
  <c r="AL36"/>
  <c r="AL33"/>
  <c r="AL39"/>
  <c r="AL37"/>
  <c r="AL24"/>
  <c r="AL38"/>
  <c r="AL26"/>
  <c r="AL31"/>
  <c r="AL34"/>
  <c r="AL35"/>
  <c r="AL32"/>
  <c r="AL29"/>
  <c r="AL27"/>
  <c r="AL30"/>
  <c r="AL25"/>
  <c r="AL23"/>
  <c r="AL22"/>
  <c r="AF6" i="4"/>
  <c r="AE7"/>
  <c r="AJ41" i="1" s="1"/>
  <c r="AH3" i="4"/>
  <c r="AK16" i="1"/>
  <c r="AN18"/>
  <c r="AM15"/>
  <c r="AF40" l="1"/>
  <c r="AE42"/>
  <c r="AM21"/>
  <c r="AM30"/>
  <c r="AM34"/>
  <c r="AM32"/>
  <c r="AM39"/>
  <c r="AM24"/>
  <c r="AM36"/>
  <c r="AM33"/>
  <c r="AM29"/>
  <c r="AM38"/>
  <c r="AM28"/>
  <c r="AM31"/>
  <c r="AM35"/>
  <c r="AM37"/>
  <c r="AM20"/>
  <c r="AM26"/>
  <c r="AM22"/>
  <c r="AM27"/>
  <c r="AM25"/>
  <c r="AM23"/>
  <c r="AN15"/>
  <c r="AO18"/>
  <c r="AL16"/>
  <c r="AI3" i="4"/>
  <c r="AG6"/>
  <c r="AF7"/>
  <c r="AK41" i="1" s="1"/>
  <c r="AG40" l="1"/>
  <c r="AF42"/>
  <c r="AN20"/>
  <c r="AN27"/>
  <c r="AN37"/>
  <c r="AN31"/>
  <c r="AN36"/>
  <c r="AN35"/>
  <c r="AN32"/>
  <c r="AN38"/>
  <c r="AN33"/>
  <c r="AN29"/>
  <c r="AN39"/>
  <c r="AN34"/>
  <c r="AN30"/>
  <c r="AN28"/>
  <c r="AN25"/>
  <c r="AN26"/>
  <c r="AN24"/>
  <c r="AN22"/>
  <c r="AN23"/>
  <c r="AN21"/>
  <c r="AP18"/>
  <c r="AO15"/>
  <c r="AH6" i="4"/>
  <c r="AG7"/>
  <c r="AL41" i="1" s="1"/>
  <c r="AJ3" i="4"/>
  <c r="AM16" i="1"/>
  <c r="AH40" l="1"/>
  <c r="AG42"/>
  <c r="AO20"/>
  <c r="AO37"/>
  <c r="AO38"/>
  <c r="AO32"/>
  <c r="AO39"/>
  <c r="AO30"/>
  <c r="AO35"/>
  <c r="AO31"/>
  <c r="AO33"/>
  <c r="AO29"/>
  <c r="AO34"/>
  <c r="AO36"/>
  <c r="AO27"/>
  <c r="AO23"/>
  <c r="AP15"/>
  <c r="AQ18"/>
  <c r="AO26"/>
  <c r="AO22"/>
  <c r="AN16"/>
  <c r="AK3" i="4"/>
  <c r="AI6"/>
  <c r="AH7"/>
  <c r="AM41" i="1" s="1"/>
  <c r="AO25"/>
  <c r="AO21"/>
  <c r="AO28"/>
  <c r="AO24"/>
  <c r="AP24" l="1"/>
  <c r="AI40"/>
  <c r="AH42"/>
  <c r="AP21"/>
  <c r="AP20"/>
  <c r="AP38"/>
  <c r="AP36"/>
  <c r="AP34"/>
  <c r="AP26"/>
  <c r="AP31"/>
  <c r="AP39"/>
  <c r="AP28"/>
  <c r="AP25"/>
  <c r="AP22"/>
  <c r="AP37"/>
  <c r="AP35"/>
  <c r="AP33"/>
  <c r="AP27"/>
  <c r="AP32"/>
  <c r="AP29"/>
  <c r="AP30"/>
  <c r="AP23"/>
  <c r="AR18"/>
  <c r="AQ15"/>
  <c r="AQ21" s="1"/>
  <c r="AJ6" i="4"/>
  <c r="AI7"/>
  <c r="AN41" i="1" s="1"/>
  <c r="AL3" i="4"/>
  <c r="AO16" i="1"/>
  <c r="AJ40" l="1"/>
  <c r="AI42"/>
  <c r="AQ35"/>
  <c r="AQ26"/>
  <c r="AQ31"/>
  <c r="AQ37"/>
  <c r="AQ27"/>
  <c r="AQ33"/>
  <c r="AQ38"/>
  <c r="AQ29"/>
  <c r="AQ22"/>
  <c r="AQ23"/>
  <c r="AP16"/>
  <c r="AM3" i="4"/>
  <c r="AK6"/>
  <c r="AJ7"/>
  <c r="AO41" i="1" s="1"/>
  <c r="AR15"/>
  <c r="AR21" s="1"/>
  <c r="AQ30"/>
  <c r="AQ32"/>
  <c r="AQ34"/>
  <c r="AQ36"/>
  <c r="AQ39"/>
  <c r="AQ28"/>
  <c r="AQ24"/>
  <c r="AQ20"/>
  <c r="AR20" s="1"/>
  <c r="AQ25"/>
  <c r="AR36" l="1"/>
  <c r="AR28"/>
  <c r="AK40"/>
  <c r="AJ42"/>
  <c r="AR25"/>
  <c r="AR39"/>
  <c r="AR30"/>
  <c r="AR32"/>
  <c r="AR24"/>
  <c r="AR34"/>
  <c r="AR38"/>
  <c r="AR31"/>
  <c r="AR35"/>
  <c r="AR26"/>
  <c r="AR37"/>
  <c r="AR33"/>
  <c r="AR29"/>
  <c r="AR22"/>
  <c r="AR27"/>
  <c r="AR23"/>
  <c r="AL6" i="4"/>
  <c r="AK7"/>
  <c r="AP41" i="1" s="1"/>
  <c r="AN3" i="4"/>
  <c r="AQ16" i="1"/>
  <c r="AL40" l="1"/>
  <c r="AK42"/>
  <c r="AR16"/>
  <c r="AM6" i="4"/>
  <c r="AL7"/>
  <c r="AQ41" i="1" s="1"/>
  <c r="AM40" l="1"/>
  <c r="AL42"/>
  <c r="AN6" i="4"/>
  <c r="AN7" s="1"/>
  <c r="AM7"/>
  <c r="AR41" i="1" s="1"/>
  <c r="AN40" l="1"/>
  <c r="AM42"/>
  <c r="AO40" l="1"/>
  <c r="AN42"/>
  <c r="AP40" l="1"/>
  <c r="AO42"/>
  <c r="AQ40" l="1"/>
  <c r="AP42"/>
  <c r="AR40" l="1"/>
  <c r="AR42" s="1"/>
  <c r="AQ42"/>
</calcChain>
</file>

<file path=xl/comments1.xml><?xml version="1.0" encoding="utf-8"?>
<comments xmlns="http://schemas.openxmlformats.org/spreadsheetml/2006/main">
  <authors>
    <author>B.J. Porter</author>
  </authors>
  <commentList>
    <comment ref="B17" authorId="0">
      <text>
        <r>
          <rPr>
            <b/>
            <sz val="9"/>
            <color indexed="81"/>
            <rFont val="Tahoma"/>
            <charset val="1"/>
          </rPr>
          <t>B.J. Porter:</t>
        </r>
        <r>
          <rPr>
            <sz val="9"/>
            <color indexed="81"/>
            <rFont val="Tahoma"/>
            <charset val="1"/>
          </rPr>
          <t xml:space="preserve">
Assumptions per year on other money you might get in, from working or other means</t>
        </r>
      </text>
    </comment>
  </commentList>
</comments>
</file>

<file path=xl/sharedStrings.xml><?xml version="1.0" encoding="utf-8"?>
<sst xmlns="http://schemas.openxmlformats.org/spreadsheetml/2006/main" count="145" uniqueCount="129">
  <si>
    <t>House Sale Net</t>
  </si>
  <si>
    <t>Starting Cash</t>
  </si>
  <si>
    <t>APR on Inv</t>
  </si>
  <si>
    <t>Boat Bought Year</t>
  </si>
  <si>
    <t>Cash for Boat (0 or 1)</t>
  </si>
  <si>
    <t>Year of Departure</t>
  </si>
  <si>
    <t>College yr</t>
  </si>
  <si>
    <t>Boat Term</t>
  </si>
  <si>
    <t>Boat Payment</t>
  </si>
  <si>
    <t>Months of saving</t>
  </si>
  <si>
    <t>Boat Payoff</t>
  </si>
  <si>
    <t>Boat Purchase</t>
  </si>
  <si>
    <t>Kids in College:</t>
  </si>
  <si>
    <t>Our Age:</t>
  </si>
  <si>
    <t>Net Earnings</t>
  </si>
  <si>
    <t>Per Month</t>
  </si>
  <si>
    <t>Cruise/Mo</t>
  </si>
  <si>
    <t>End 2010</t>
  </si>
  <si>
    <t>End 2011</t>
  </si>
  <si>
    <t>End 2012</t>
  </si>
  <si>
    <t>End 2013</t>
  </si>
  <si>
    <t>Cash on Departure</t>
  </si>
  <si>
    <t>Add House Sale</t>
  </si>
  <si>
    <t>Column use</t>
  </si>
  <si>
    <t>Less Boat Payoof</t>
  </si>
  <si>
    <t>Savings til departure</t>
  </si>
  <si>
    <t>living expenses</t>
  </si>
  <si>
    <t>Touchable</t>
  </si>
  <si>
    <t>Net On Hand</t>
  </si>
  <si>
    <t>Notes, Comments, and Instructions</t>
  </si>
  <si>
    <t>GREYED CELLS can be edited, these are the assumptions</t>
  </si>
  <si>
    <t>The model assumes a certain amount save, and a calculates cashflows for each subsequent year based on the expected budget level</t>
  </si>
  <si>
    <t>ASSUMPTIONS Defined</t>
  </si>
  <si>
    <t>Sell your house when you leave, this is the equity you take out of it</t>
  </si>
  <si>
    <t>Current portfolio and savings</t>
  </si>
  <si>
    <t>APR in Inv</t>
  </si>
  <si>
    <t>Estimated average APR, after taxes, on investments</t>
  </si>
  <si>
    <t>Boat bought year</t>
  </si>
  <si>
    <t>What year you will buy your boat in, important for mortgage impact</t>
  </si>
  <si>
    <t>How old you are in 2005…pick your age</t>
  </si>
  <si>
    <t>Cash for Boat</t>
  </si>
  <si>
    <t>1 = Paying off the boat when leaving, any other number assumes mortgage</t>
  </si>
  <si>
    <t>Note that this also assumes the payoof happens when you leave, not intiallly.</t>
  </si>
  <si>
    <t>When you plan to go</t>
  </si>
  <si>
    <t>College Yr</t>
  </si>
  <si>
    <t>Expected average cost of a year in college for your kids</t>
  </si>
  <si>
    <t>Kids in college</t>
  </si>
  <si>
    <t>This row is the number of kids you would expect to have in college in a given calendar year</t>
  </si>
  <si>
    <t>COLUMNS Defined</t>
  </si>
  <si>
    <t>Per Month Savings</t>
  </si>
  <si>
    <t>How much you plan to put away per month from now until you depart.</t>
  </si>
  <si>
    <t>Monthly budget for all expenses</t>
  </si>
  <si>
    <t>Portfolio size on departure date</t>
  </si>
  <si>
    <t>Portfolio plus house sale proceeds</t>
  </si>
  <si>
    <t>Less Boat Payoff</t>
  </si>
  <si>
    <t>What's left after you pay off the boat - this is your initial cruising kitty</t>
  </si>
  <si>
    <t>Year headings</t>
  </si>
  <si>
    <t>Cruising kitty at the end of that year after expenses.</t>
  </si>
  <si>
    <t>Expensese:</t>
  </si>
  <si>
    <t>Monthly</t>
  </si>
  <si>
    <t>Annual</t>
  </si>
  <si>
    <t>Comment/Notes</t>
  </si>
  <si>
    <t>Boat Insurance</t>
  </si>
  <si>
    <t>Hull and contents insurnace</t>
  </si>
  <si>
    <t>Health Insurance</t>
  </si>
  <si>
    <t>Major medical</t>
  </si>
  <si>
    <t>Repairs</t>
  </si>
  <si>
    <t>Major systems repairs</t>
  </si>
  <si>
    <t>Maintenance</t>
  </si>
  <si>
    <t>Routine maintenance and haulouts for said</t>
  </si>
  <si>
    <t>Food</t>
  </si>
  <si>
    <t>Clothing</t>
  </si>
  <si>
    <t>Education</t>
  </si>
  <si>
    <t>Kids educational expenses</t>
  </si>
  <si>
    <t>Entertainment</t>
  </si>
  <si>
    <t>Cushion</t>
  </si>
  <si>
    <t>Safety margin</t>
  </si>
  <si>
    <t>Fuel</t>
  </si>
  <si>
    <t>Fees etc.</t>
  </si>
  <si>
    <t>Communications</t>
  </si>
  <si>
    <t>Land Storage</t>
  </si>
  <si>
    <t>TOTAL:</t>
  </si>
  <si>
    <t xml:space="preserve">Term </t>
  </si>
  <si>
    <t>Amortization schedule</t>
  </si>
  <si>
    <t>Amort Minus .5%</t>
  </si>
  <si>
    <t>Amortization at -.75%</t>
  </si>
  <si>
    <t>Boat Cost</t>
  </si>
  <si>
    <t>Down</t>
  </si>
  <si>
    <t>Down Payment</t>
  </si>
  <si>
    <t>Financed</t>
  </si>
  <si>
    <t>Rate</t>
  </si>
  <si>
    <t>Years</t>
  </si>
  <si>
    <t>Payment</t>
  </si>
  <si>
    <t>Payment #</t>
  </si>
  <si>
    <t>Interest</t>
  </si>
  <si>
    <t>Principle</t>
  </si>
  <si>
    <t>Total</t>
  </si>
  <si>
    <t>Notes and Assumptions</t>
  </si>
  <si>
    <t>These are pretty self explanatory</t>
  </si>
  <si>
    <t>Purchase Price</t>
  </si>
  <si>
    <t>1 Year</t>
  </si>
  <si>
    <t>Percentage put down on the boat</t>
  </si>
  <si>
    <t>5 Years</t>
  </si>
  <si>
    <t>APR on boat loan</t>
  </si>
  <si>
    <t>10 Years</t>
  </si>
  <si>
    <t>Term Years</t>
  </si>
  <si>
    <t>Number of years in boat loan</t>
  </si>
  <si>
    <t>15 Years</t>
  </si>
  <si>
    <t>20 Years</t>
  </si>
  <si>
    <t>Total:</t>
  </si>
  <si>
    <t>The Expense figures above do not actually figure into the calculations on the "Growth" page</t>
  </si>
  <si>
    <t>They are for your use to figure out roughly where you think your budget ought to be.</t>
  </si>
  <si>
    <t>The Amortization schedule just shows the principle vs. interest payments for the mortgae over it's life.</t>
  </si>
  <si>
    <t>This Year</t>
  </si>
  <si>
    <t>Retirement Funds</t>
  </si>
  <si>
    <t>Today</t>
  </si>
  <si>
    <t>Annual Increase</t>
  </si>
  <si>
    <t>Cash Increase</t>
  </si>
  <si>
    <t>Years to Grow</t>
  </si>
  <si>
    <t>Year</t>
  </si>
  <si>
    <t>Fund 1</t>
  </si>
  <si>
    <t>401K</t>
  </si>
  <si>
    <t>Other 401K</t>
  </si>
  <si>
    <t>IRA</t>
  </si>
  <si>
    <t>Child 1 Age</t>
  </si>
  <si>
    <t>Child 2 Cage</t>
  </si>
  <si>
    <t>Child 1 College</t>
  </si>
  <si>
    <t>Child 2 College</t>
  </si>
  <si>
    <t>Our Age, 2014</t>
  </si>
</sst>
</file>

<file path=xl/styles.xml><?xml version="1.0" encoding="utf-8"?>
<styleSheet xmlns="http://schemas.openxmlformats.org/spreadsheetml/2006/main">
  <numFmts count="8">
    <numFmt numFmtId="164" formatCode="&quot; $&quot;#,##0.00\ ;&quot; $(&quot;#,##0.00\);&quot; $-&quot;#\ ;@\ "/>
    <numFmt numFmtId="165" formatCode="&quot; $&quot;#,##0\ ;&quot; $(&quot;#,##0\);&quot; $-&quot;#\ ;@\ "/>
    <numFmt numFmtId="166" formatCode="[$$-409]#,##0;[Red]\-[$$-409]#,##0"/>
    <numFmt numFmtId="167" formatCode="#,##0.00\ ;&quot; (&quot;#,##0.00\);&quot; -&quot;#\ ;@\ "/>
    <numFmt numFmtId="168" formatCode="\$#,##0\ ;[Red]&quot;($&quot;#,##0\)"/>
    <numFmt numFmtId="169" formatCode="\$#,##0.00\ ;[Red]&quot;($&quot;#,##0.00\)"/>
    <numFmt numFmtId="170" formatCode="mm/dd/yy"/>
    <numFmt numFmtId="171" formatCode="[$$-409]#,##0.00;[Red]\-[$$-409]#,##0.00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hair">
        <color indexed="8"/>
      </bottom>
      <diagonal/>
    </border>
  </borders>
  <cellStyleXfs count="45">
    <xf numFmtId="0" fontId="0" fillId="0" borderId="0"/>
    <xf numFmtId="167" fontId="20" fillId="0" borderId="0" applyFill="0" applyBorder="0" applyAlignment="0" applyProtection="0"/>
    <xf numFmtId="164" fontId="20" fillId="0" borderId="0" applyFill="0" applyBorder="0" applyAlignment="0" applyProtection="0"/>
    <xf numFmtId="9" fontId="20" fillId="0" borderId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0" fillId="23" borderId="7" applyNumberForma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2">
    <xf numFmtId="0" fontId="0" fillId="0" borderId="0" xfId="0"/>
    <xf numFmtId="164" fontId="0" fillId="0" borderId="0" xfId="2" applyFont="1" applyFill="1" applyBorder="1" applyAlignment="1" applyProtection="1"/>
    <xf numFmtId="0" fontId="18" fillId="0" borderId="0" xfId="0" applyFont="1"/>
    <xf numFmtId="165" fontId="0" fillId="20" borderId="10" xfId="2" applyNumberFormat="1" applyFont="1" applyFill="1" applyBorder="1" applyAlignment="1" applyProtection="1">
      <protection locked="0"/>
    </xf>
    <xf numFmtId="165" fontId="0" fillId="0" borderId="0" xfId="2" applyNumberFormat="1" applyFont="1" applyFill="1" applyBorder="1" applyAlignment="1" applyProtection="1"/>
    <xf numFmtId="10" fontId="0" fillId="20" borderId="10" xfId="3" applyNumberFormat="1" applyFont="1" applyFill="1" applyBorder="1" applyAlignment="1" applyProtection="1">
      <protection locked="0"/>
    </xf>
    <xf numFmtId="9" fontId="0" fillId="0" borderId="0" xfId="3" applyFont="1" applyFill="1" applyBorder="1" applyAlignment="1" applyProtection="1"/>
    <xf numFmtId="0" fontId="0" fillId="20" borderId="10" xfId="0" applyFill="1" applyBorder="1" applyProtection="1">
      <protection locked="0"/>
    </xf>
    <xf numFmtId="164" fontId="18" fillId="0" borderId="0" xfId="2" applyFont="1" applyFill="1" applyBorder="1" applyAlignment="1" applyProtection="1"/>
    <xf numFmtId="0" fontId="18" fillId="0" borderId="0" xfId="0" applyFont="1" applyAlignment="1">
      <alignment horizontal="right"/>
    </xf>
    <xf numFmtId="0" fontId="0" fillId="24" borderId="10" xfId="0" applyFill="1" applyBorder="1" applyProtection="1"/>
    <xf numFmtId="165" fontId="18" fillId="0" borderId="0" xfId="2" applyNumberFormat="1" applyFont="1" applyFill="1" applyBorder="1" applyAlignment="1" applyProtection="1">
      <protection locked="0"/>
    </xf>
    <xf numFmtId="166" fontId="0" fillId="20" borderId="11" xfId="0" applyNumberFormat="1" applyFill="1" applyBorder="1" applyProtection="1">
      <protection locked="0"/>
    </xf>
    <xf numFmtId="0" fontId="0" fillId="0" borderId="0" xfId="0" applyNumberFormat="1"/>
    <xf numFmtId="0" fontId="0" fillId="0" borderId="0" xfId="2" applyNumberFormat="1" applyFont="1" applyFill="1" applyBorder="1" applyAlignment="1" applyProtection="1"/>
    <xf numFmtId="0" fontId="0" fillId="0" borderId="0" xfId="1" applyNumberFormat="1" applyFont="1" applyFill="1" applyBorder="1" applyAlignment="1" applyProtection="1"/>
    <xf numFmtId="165" fontId="18" fillId="0" borderId="0" xfId="2" applyNumberFormat="1" applyFont="1" applyFill="1" applyBorder="1" applyAlignment="1" applyProtection="1"/>
    <xf numFmtId="165" fontId="18" fillId="20" borderId="10" xfId="2" applyNumberFormat="1" applyFont="1" applyFill="1" applyBorder="1" applyAlignment="1" applyProtection="1">
      <protection locked="0"/>
    </xf>
    <xf numFmtId="0" fontId="0" fillId="0" borderId="0" xfId="0" applyFill="1"/>
    <xf numFmtId="165" fontId="18" fillId="6" borderId="12" xfId="2" applyNumberFormat="1" applyFont="1" applyFill="1" applyBorder="1" applyAlignment="1" applyProtection="1"/>
    <xf numFmtId="165" fontId="0" fillId="6" borderId="12" xfId="2" applyNumberFormat="1" applyFont="1" applyFill="1" applyBorder="1" applyAlignment="1" applyProtection="1"/>
    <xf numFmtId="166" fontId="0" fillId="2" borderId="13" xfId="0" applyNumberFormat="1" applyFill="1" applyBorder="1"/>
    <xf numFmtId="164" fontId="0" fillId="20" borderId="10" xfId="2" applyFont="1" applyFill="1" applyBorder="1" applyAlignment="1" applyProtection="1">
      <protection locked="0"/>
    </xf>
    <xf numFmtId="0" fontId="0" fillId="20" borderId="0" xfId="0" applyFont="1" applyFill="1" applyProtection="1">
      <protection locked="0"/>
    </xf>
    <xf numFmtId="164" fontId="0" fillId="0" borderId="14" xfId="2" applyFont="1" applyFill="1" applyBorder="1" applyAlignment="1" applyProtection="1"/>
    <xf numFmtId="9" fontId="0" fillId="20" borderId="10" xfId="0" applyNumberFormat="1" applyFont="1" applyFill="1" applyBorder="1" applyProtection="1">
      <protection locked="0"/>
    </xf>
    <xf numFmtId="10" fontId="0" fillId="20" borderId="10" xfId="0" applyNumberFormat="1" applyFont="1" applyFill="1" applyBorder="1" applyProtection="1">
      <protection locked="0"/>
    </xf>
    <xf numFmtId="0" fontId="0" fillId="20" borderId="10" xfId="0" applyFont="1" applyFill="1" applyBorder="1" applyProtection="1">
      <protection locked="0"/>
    </xf>
    <xf numFmtId="168" fontId="0" fillId="0" borderId="0" xfId="0" applyNumberFormat="1"/>
    <xf numFmtId="169" fontId="0" fillId="0" borderId="0" xfId="0" applyNumberFormat="1"/>
    <xf numFmtId="9" fontId="0" fillId="0" borderId="0" xfId="0" applyNumberFormat="1"/>
    <xf numFmtId="10" fontId="0" fillId="0" borderId="0" xfId="0" applyNumberFormat="1"/>
    <xf numFmtId="170" fontId="0" fillId="0" borderId="0" xfId="0" applyNumberFormat="1"/>
    <xf numFmtId="171" fontId="0" fillId="0" borderId="0" xfId="0" applyNumberFormat="1"/>
    <xf numFmtId="171" fontId="0" fillId="0" borderId="15" xfId="0" applyNumberFormat="1" applyBorder="1"/>
    <xf numFmtId="10" fontId="0" fillId="0" borderId="15" xfId="0" applyNumberFormat="1" applyBorder="1"/>
    <xf numFmtId="0" fontId="0" fillId="0" borderId="15" xfId="0" applyBorder="1"/>
    <xf numFmtId="0" fontId="19" fillId="0" borderId="0" xfId="0" applyFont="1"/>
    <xf numFmtId="171" fontId="0" fillId="25" borderId="0" xfId="0" applyNumberFormat="1" applyFill="1" applyProtection="1">
      <protection locked="0"/>
    </xf>
    <xf numFmtId="171" fontId="0" fillId="25" borderId="15" xfId="0" applyNumberFormat="1" applyFill="1" applyBorder="1" applyProtection="1">
      <protection locked="0"/>
    </xf>
    <xf numFmtId="0" fontId="0" fillId="25" borderId="0" xfId="0" applyFill="1" applyProtection="1">
      <protection locked="0"/>
    </xf>
    <xf numFmtId="0" fontId="0" fillId="25" borderId="15" xfId="0" applyFill="1" applyBorder="1" applyProtection="1">
      <protection locked="0"/>
    </xf>
  </cellXfs>
  <cellStyles count="45">
    <cellStyle name="20% - Accent1" xfId="4" builtinId="30" customBuiltin="1"/>
    <cellStyle name="20% - Accent2" xfId="5" builtinId="34" customBuiltin="1"/>
    <cellStyle name="20% - Accent3" xfId="6" builtinId="38" customBuiltin="1"/>
    <cellStyle name="20% - Accent4" xfId="7" builtinId="42" customBuiltin="1"/>
    <cellStyle name="20% - Accent5" xfId="8" builtinId="46" customBuiltin="1"/>
    <cellStyle name="20% - Accent6" xfId="9" builtinId="50" customBuiltin="1"/>
    <cellStyle name="40% - Accent1" xfId="10" builtinId="31" customBuiltin="1"/>
    <cellStyle name="40% - Accent2" xfId="11" builtinId="35" customBuiltin="1"/>
    <cellStyle name="40% - Accent3" xfId="12" builtinId="39" customBuiltin="1"/>
    <cellStyle name="40% - Accent4" xfId="13" builtinId="43" customBuiltin="1"/>
    <cellStyle name="40% - Accent5" xfId="14" builtinId="47" customBuiltin="1"/>
    <cellStyle name="40% - Accent6" xfId="15" builtinId="51" customBuiltin="1"/>
    <cellStyle name="60% - Accent1" xfId="16" builtinId="32" customBuiltin="1"/>
    <cellStyle name="60% - Accent2" xfId="17" builtinId="36" customBuiltin="1"/>
    <cellStyle name="60% - Accent3" xfId="18" builtinId="40" customBuiltin="1"/>
    <cellStyle name="60% - Accent4" xfId="19" builtinId="44" customBuiltin="1"/>
    <cellStyle name="60% - Accent5" xfId="20" builtinId="48" customBuiltin="1"/>
    <cellStyle name="60% - Accent6" xfId="21" builtinId="52" customBuiltin="1"/>
    <cellStyle name="Accent1" xfId="22" builtinId="29" customBuiltin="1"/>
    <cellStyle name="Accent2" xfId="23" builtinId="33" customBuiltin="1"/>
    <cellStyle name="Accent3" xfId="24" builtinId="37" customBuiltin="1"/>
    <cellStyle name="Accent4" xfId="25" builtinId="41" customBuiltin="1"/>
    <cellStyle name="Accent5" xfId="26" builtinId="45" customBuiltin="1"/>
    <cellStyle name="Accent6" xfId="27" builtinId="49" customBuiltin="1"/>
    <cellStyle name="Bad" xfId="28" builtinId="27" customBuiltin="1"/>
    <cellStyle name="Calculation" xfId="29" builtinId="22" customBuiltin="1"/>
    <cellStyle name="Check Cell" xfId="30" builtinId="23" customBuiltin="1"/>
    <cellStyle name="Comma" xfId="1" builtinId="3"/>
    <cellStyle name="Currency" xfId="2" builtinId="4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te" xfId="40" builtinId="10" customBuiltin="1"/>
    <cellStyle name="Output" xfId="41" builtinId="21" customBuiltin="1"/>
    <cellStyle name="Percent" xfId="3" builtinId="5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6"/>
  <sheetViews>
    <sheetView tabSelected="1" workbookViewId="0">
      <pane xSplit="9" ySplit="18" topLeftCell="K19" activePane="bottomRight" state="frozen"/>
      <selection pane="topRight" activeCell="J1" sqref="J1"/>
      <selection pane="bottomLeft" activeCell="A31" sqref="A31"/>
      <selection pane="bottomRight" activeCell="A20" sqref="A20"/>
    </sheetView>
  </sheetViews>
  <sheetFormatPr defaultRowHeight="12.75"/>
  <cols>
    <col min="1" max="1" width="20.42578125" customWidth="1"/>
    <col min="2" max="2" width="29.28515625" customWidth="1"/>
    <col min="3" max="10" width="0" hidden="1" customWidth="1"/>
    <col min="11" max="11" width="13.42578125" customWidth="1"/>
    <col min="12" max="12" width="14.42578125" customWidth="1"/>
    <col min="13" max="15" width="15" customWidth="1"/>
    <col min="16" max="18" width="15" style="1" customWidth="1"/>
    <col min="19" max="21" width="15" customWidth="1"/>
    <col min="22" max="31" width="14.140625" customWidth="1"/>
    <col min="32" max="33" width="14.85546875" customWidth="1"/>
    <col min="34" max="35" width="15.5703125" customWidth="1"/>
    <col min="36" max="44" width="11.7109375" customWidth="1"/>
  </cols>
  <sheetData>
    <row r="1" spans="1:44">
      <c r="A1" s="2" t="s">
        <v>0</v>
      </c>
      <c r="B1" s="3">
        <v>200000</v>
      </c>
      <c r="C1" s="4"/>
      <c r="D1" s="4"/>
      <c r="E1" s="4"/>
      <c r="F1" s="4"/>
    </row>
    <row r="2" spans="1:44">
      <c r="A2" s="2" t="s">
        <v>1</v>
      </c>
      <c r="B2" s="3">
        <v>50000</v>
      </c>
    </row>
    <row r="3" spans="1:44">
      <c r="A3" s="2" t="s">
        <v>2</v>
      </c>
      <c r="B3" s="5">
        <v>0.06</v>
      </c>
      <c r="C3" s="6"/>
      <c r="D3" s="6"/>
      <c r="E3" s="6"/>
      <c r="F3" s="6"/>
    </row>
    <row r="4" spans="1:44">
      <c r="A4" s="2" t="s">
        <v>3</v>
      </c>
      <c r="B4" s="7">
        <v>2011</v>
      </c>
      <c r="C4">
        <v>1</v>
      </c>
      <c r="D4">
        <v>2</v>
      </c>
      <c r="E4">
        <v>3</v>
      </c>
      <c r="F4">
        <v>3</v>
      </c>
    </row>
    <row r="5" spans="1:44">
      <c r="A5" s="8" t="str">
        <f ca="1">+CONCATENATE("Our Age, ",TEXT(This_Year,"#"))</f>
        <v>Our Age, 2017</v>
      </c>
      <c r="B5" s="7">
        <v>47</v>
      </c>
    </row>
    <row r="6" spans="1:44">
      <c r="A6" s="2" t="s">
        <v>4</v>
      </c>
      <c r="B6" s="7">
        <v>0</v>
      </c>
      <c r="G6" s="1"/>
    </row>
    <row r="7" spans="1:44">
      <c r="A7" s="8" t="s">
        <v>5</v>
      </c>
      <c r="B7" s="7">
        <v>2014</v>
      </c>
    </row>
    <row r="8" spans="1:44">
      <c r="A8" s="2" t="s">
        <v>6</v>
      </c>
      <c r="B8" s="3">
        <v>55000</v>
      </c>
    </row>
    <row r="9" spans="1:44">
      <c r="A9" s="2" t="s">
        <v>7</v>
      </c>
      <c r="B9">
        <f>+Term</f>
        <v>20</v>
      </c>
      <c r="H9" s="9"/>
      <c r="P9"/>
      <c r="Q9"/>
      <c r="R9"/>
    </row>
    <row r="10" spans="1:44">
      <c r="A10" s="2" t="s">
        <v>8</v>
      </c>
      <c r="B10" s="4">
        <f>+Real_payment</f>
        <v>1547.7464426832853</v>
      </c>
      <c r="H10" s="9"/>
      <c r="P10"/>
      <c r="Q10"/>
      <c r="R10"/>
    </row>
    <row r="11" spans="1:44">
      <c r="A11" s="2" t="s">
        <v>9</v>
      </c>
      <c r="B11">
        <f ca="1">+(Year_of_Departure-This_Year)*12</f>
        <v>-36</v>
      </c>
      <c r="H11" s="9"/>
      <c r="P11"/>
      <c r="Q11"/>
      <c r="R11"/>
    </row>
    <row r="12" spans="1:44">
      <c r="A12" s="2" t="s">
        <v>10</v>
      </c>
      <c r="B12" s="4">
        <f>+Financed</f>
        <v>225000</v>
      </c>
      <c r="H12" s="9"/>
      <c r="P12"/>
      <c r="Q12"/>
      <c r="R12"/>
    </row>
    <row r="13" spans="1:44">
      <c r="A13" s="2" t="s">
        <v>11</v>
      </c>
      <c r="B13" s="4">
        <f>+Cost_of_boat</f>
        <v>250000</v>
      </c>
      <c r="H13" s="9"/>
      <c r="P13"/>
      <c r="Q13"/>
      <c r="R13"/>
    </row>
    <row r="14" spans="1:44">
      <c r="A14" s="2"/>
      <c r="B14" s="4"/>
      <c r="H14" s="9"/>
      <c r="P14"/>
      <c r="Q14"/>
      <c r="R14"/>
    </row>
    <row r="15" spans="1:44">
      <c r="B15" s="9" t="s">
        <v>12</v>
      </c>
      <c r="H15" s="9"/>
      <c r="K15" s="10">
        <f t="shared" ref="K15:AR15" si="0">HLOOKUP(K18,College_count,6)</f>
        <v>0</v>
      </c>
      <c r="L15" s="10">
        <f t="shared" si="0"/>
        <v>0</v>
      </c>
      <c r="M15" s="10">
        <f t="shared" si="0"/>
        <v>0</v>
      </c>
      <c r="N15" s="10">
        <f t="shared" si="0"/>
        <v>0</v>
      </c>
      <c r="O15" s="10">
        <f t="shared" si="0"/>
        <v>0</v>
      </c>
      <c r="P15" s="10">
        <f t="shared" si="0"/>
        <v>1</v>
      </c>
      <c r="Q15" s="10">
        <f t="shared" si="0"/>
        <v>1</v>
      </c>
      <c r="R15" s="10">
        <f t="shared" si="0"/>
        <v>2</v>
      </c>
      <c r="S15" s="10">
        <f t="shared" si="0"/>
        <v>2</v>
      </c>
      <c r="T15" s="10">
        <f t="shared" si="0"/>
        <v>1</v>
      </c>
      <c r="U15" s="10">
        <f t="shared" si="0"/>
        <v>1</v>
      </c>
      <c r="V15" s="10">
        <f t="shared" si="0"/>
        <v>0</v>
      </c>
      <c r="W15" s="10">
        <f t="shared" si="0"/>
        <v>0</v>
      </c>
      <c r="X15" s="10">
        <f t="shared" si="0"/>
        <v>0</v>
      </c>
      <c r="Y15" s="10">
        <f t="shared" si="0"/>
        <v>0</v>
      </c>
      <c r="Z15" s="10">
        <f t="shared" si="0"/>
        <v>0</v>
      </c>
      <c r="AA15" s="10">
        <f t="shared" si="0"/>
        <v>0</v>
      </c>
      <c r="AB15" s="10">
        <f t="shared" si="0"/>
        <v>0</v>
      </c>
      <c r="AC15" s="10">
        <f t="shared" si="0"/>
        <v>0</v>
      </c>
      <c r="AD15" s="10">
        <f t="shared" si="0"/>
        <v>0</v>
      </c>
      <c r="AE15" s="10">
        <f t="shared" si="0"/>
        <v>0</v>
      </c>
      <c r="AF15" s="10">
        <f t="shared" si="0"/>
        <v>0</v>
      </c>
      <c r="AG15" s="10">
        <f t="shared" si="0"/>
        <v>0</v>
      </c>
      <c r="AH15" s="10">
        <f t="shared" si="0"/>
        <v>0</v>
      </c>
      <c r="AI15" s="10">
        <f t="shared" si="0"/>
        <v>0</v>
      </c>
      <c r="AJ15" s="10">
        <f t="shared" si="0"/>
        <v>0</v>
      </c>
      <c r="AK15" s="10">
        <f t="shared" si="0"/>
        <v>0</v>
      </c>
      <c r="AL15" s="10">
        <f t="shared" si="0"/>
        <v>0</v>
      </c>
      <c r="AM15" s="10">
        <f t="shared" si="0"/>
        <v>0</v>
      </c>
      <c r="AN15" s="10">
        <f t="shared" si="0"/>
        <v>0</v>
      </c>
      <c r="AO15" s="10">
        <f t="shared" si="0"/>
        <v>0</v>
      </c>
      <c r="AP15" s="10">
        <f t="shared" si="0"/>
        <v>0</v>
      </c>
      <c r="AQ15" s="10">
        <f t="shared" si="0"/>
        <v>0</v>
      </c>
      <c r="AR15" s="10">
        <f t="shared" si="0"/>
        <v>0</v>
      </c>
    </row>
    <row r="16" spans="1:44">
      <c r="B16" s="9" t="s">
        <v>13</v>
      </c>
      <c r="K16">
        <f ca="1">+K18-This_Year+B5</f>
        <v>44</v>
      </c>
      <c r="L16">
        <f t="shared" ref="L16:AR16" ca="1" si="1">+K16+1</f>
        <v>45</v>
      </c>
      <c r="M16">
        <f t="shared" ca="1" si="1"/>
        <v>46</v>
      </c>
      <c r="N16">
        <f t="shared" ca="1" si="1"/>
        <v>47</v>
      </c>
      <c r="O16">
        <f t="shared" ca="1" si="1"/>
        <v>48</v>
      </c>
      <c r="P16">
        <f t="shared" ca="1" si="1"/>
        <v>49</v>
      </c>
      <c r="Q16">
        <f t="shared" ca="1" si="1"/>
        <v>50</v>
      </c>
      <c r="R16">
        <f t="shared" ca="1" si="1"/>
        <v>51</v>
      </c>
      <c r="S16">
        <f t="shared" ca="1" si="1"/>
        <v>52</v>
      </c>
      <c r="T16">
        <f t="shared" ca="1" si="1"/>
        <v>53</v>
      </c>
      <c r="U16">
        <f t="shared" ca="1" si="1"/>
        <v>54</v>
      </c>
      <c r="V16">
        <f t="shared" ca="1" si="1"/>
        <v>55</v>
      </c>
      <c r="W16">
        <f t="shared" ca="1" si="1"/>
        <v>56</v>
      </c>
      <c r="X16">
        <f t="shared" ca="1" si="1"/>
        <v>57</v>
      </c>
      <c r="Y16">
        <f t="shared" ca="1" si="1"/>
        <v>58</v>
      </c>
      <c r="Z16">
        <f t="shared" ca="1" si="1"/>
        <v>59</v>
      </c>
      <c r="AA16">
        <f t="shared" ca="1" si="1"/>
        <v>60</v>
      </c>
      <c r="AB16">
        <f t="shared" ca="1" si="1"/>
        <v>61</v>
      </c>
      <c r="AC16">
        <f t="shared" ca="1" si="1"/>
        <v>62</v>
      </c>
      <c r="AD16">
        <f t="shared" ca="1" si="1"/>
        <v>63</v>
      </c>
      <c r="AE16">
        <f t="shared" ca="1" si="1"/>
        <v>64</v>
      </c>
      <c r="AF16">
        <f t="shared" ca="1" si="1"/>
        <v>65</v>
      </c>
      <c r="AG16">
        <f t="shared" ca="1" si="1"/>
        <v>66</v>
      </c>
      <c r="AH16">
        <f t="shared" ca="1" si="1"/>
        <v>67</v>
      </c>
      <c r="AI16">
        <f t="shared" ca="1" si="1"/>
        <v>68</v>
      </c>
      <c r="AJ16">
        <f t="shared" ca="1" si="1"/>
        <v>69</v>
      </c>
      <c r="AK16">
        <f t="shared" ca="1" si="1"/>
        <v>70</v>
      </c>
      <c r="AL16">
        <f t="shared" ca="1" si="1"/>
        <v>71</v>
      </c>
      <c r="AM16">
        <f t="shared" ca="1" si="1"/>
        <v>72</v>
      </c>
      <c r="AN16">
        <f t="shared" ca="1" si="1"/>
        <v>73</v>
      </c>
      <c r="AO16">
        <f t="shared" ca="1" si="1"/>
        <v>74</v>
      </c>
      <c r="AP16">
        <f t="shared" ca="1" si="1"/>
        <v>75</v>
      </c>
      <c r="AQ16">
        <f t="shared" ca="1" si="1"/>
        <v>76</v>
      </c>
      <c r="AR16">
        <f t="shared" ca="1" si="1"/>
        <v>77</v>
      </c>
    </row>
    <row r="17" spans="1:44">
      <c r="A17" s="2"/>
      <c r="B17" s="11" t="s">
        <v>14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12">
        <v>0</v>
      </c>
      <c r="AN17" s="12">
        <v>0</v>
      </c>
      <c r="AO17" s="12">
        <v>0</v>
      </c>
      <c r="AP17" s="12">
        <v>0</v>
      </c>
      <c r="AQ17" s="12">
        <v>0</v>
      </c>
      <c r="AR17" s="12">
        <v>0</v>
      </c>
    </row>
    <row r="18" spans="1:44" ht="11.45" customHeight="1">
      <c r="A18" s="2" t="s">
        <v>15</v>
      </c>
      <c r="B18" s="2" t="s">
        <v>16</v>
      </c>
      <c r="C18" s="2" t="s">
        <v>17</v>
      </c>
      <c r="D18" s="2" t="s">
        <v>18</v>
      </c>
      <c r="E18" s="2" t="s">
        <v>19</v>
      </c>
      <c r="F18" s="2" t="s">
        <v>20</v>
      </c>
      <c r="G18" t="s">
        <v>21</v>
      </c>
      <c r="H18" t="s">
        <v>22</v>
      </c>
      <c r="I18" s="2" t="s">
        <v>23</v>
      </c>
      <c r="J18" t="s">
        <v>24</v>
      </c>
      <c r="K18" s="13">
        <f>+Year_of_Departure</f>
        <v>2014</v>
      </c>
      <c r="L18" s="13">
        <f t="shared" ref="L18:AR18" si="2">+K18+1</f>
        <v>2015</v>
      </c>
      <c r="M18" s="13">
        <f t="shared" si="2"/>
        <v>2016</v>
      </c>
      <c r="N18" s="13">
        <f t="shared" si="2"/>
        <v>2017</v>
      </c>
      <c r="O18" s="13">
        <f t="shared" si="2"/>
        <v>2018</v>
      </c>
      <c r="P18" s="14">
        <f t="shared" si="2"/>
        <v>2019</v>
      </c>
      <c r="Q18" s="14">
        <f t="shared" si="2"/>
        <v>2020</v>
      </c>
      <c r="R18" s="14">
        <f t="shared" si="2"/>
        <v>2021</v>
      </c>
      <c r="S18" s="13">
        <f t="shared" si="2"/>
        <v>2022</v>
      </c>
      <c r="T18" s="13">
        <f t="shared" si="2"/>
        <v>2023</v>
      </c>
      <c r="U18" s="13">
        <f t="shared" si="2"/>
        <v>2024</v>
      </c>
      <c r="V18" s="15">
        <f t="shared" si="2"/>
        <v>2025</v>
      </c>
      <c r="W18" s="15">
        <f t="shared" si="2"/>
        <v>2026</v>
      </c>
      <c r="X18" s="15">
        <f t="shared" si="2"/>
        <v>2027</v>
      </c>
      <c r="Y18" s="15">
        <f t="shared" si="2"/>
        <v>2028</v>
      </c>
      <c r="Z18" s="15">
        <f t="shared" si="2"/>
        <v>2029</v>
      </c>
      <c r="AA18" s="15">
        <f t="shared" si="2"/>
        <v>2030</v>
      </c>
      <c r="AB18" s="14">
        <f t="shared" si="2"/>
        <v>2031</v>
      </c>
      <c r="AC18" s="14">
        <f t="shared" si="2"/>
        <v>2032</v>
      </c>
      <c r="AD18" s="14">
        <f t="shared" si="2"/>
        <v>2033</v>
      </c>
      <c r="AE18" s="14">
        <f t="shared" si="2"/>
        <v>2034</v>
      </c>
      <c r="AF18" s="14">
        <f t="shared" si="2"/>
        <v>2035</v>
      </c>
      <c r="AG18" s="14">
        <f t="shared" si="2"/>
        <v>2036</v>
      </c>
      <c r="AH18" s="14">
        <f t="shared" si="2"/>
        <v>2037</v>
      </c>
      <c r="AI18" s="14">
        <f t="shared" si="2"/>
        <v>2038</v>
      </c>
      <c r="AJ18" s="14">
        <f t="shared" si="2"/>
        <v>2039</v>
      </c>
      <c r="AK18" s="14">
        <f t="shared" si="2"/>
        <v>2040</v>
      </c>
      <c r="AL18" s="14">
        <f t="shared" si="2"/>
        <v>2041</v>
      </c>
      <c r="AM18" s="14">
        <f t="shared" si="2"/>
        <v>2042</v>
      </c>
      <c r="AN18" s="14">
        <f t="shared" si="2"/>
        <v>2043</v>
      </c>
      <c r="AO18" s="14">
        <f t="shared" si="2"/>
        <v>2044</v>
      </c>
      <c r="AP18" s="14">
        <f t="shared" si="2"/>
        <v>2045</v>
      </c>
      <c r="AQ18" s="14">
        <f t="shared" si="2"/>
        <v>2046</v>
      </c>
      <c r="AR18" s="14">
        <f t="shared" si="2"/>
        <v>2047</v>
      </c>
    </row>
    <row r="19" spans="1:44">
      <c r="A19" s="16" t="s">
        <v>25</v>
      </c>
      <c r="B19" s="16" t="s">
        <v>26</v>
      </c>
      <c r="C19" s="16"/>
      <c r="D19" s="16"/>
      <c r="E19" s="16"/>
      <c r="F19" s="16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</row>
    <row r="20" spans="1:44">
      <c r="A20" s="17">
        <v>200</v>
      </c>
      <c r="B20" s="16">
        <v>1000</v>
      </c>
      <c r="C20" s="4">
        <f t="shared" ref="C20:F40" si="3">-1*FV(APR_on_Inv/12,12*C$4,$A20,Starting_Cash)</f>
        <v>55551.003067804784</v>
      </c>
      <c r="D20" s="4">
        <f t="shared" si="3"/>
        <v>61444.379858484899</v>
      </c>
      <c r="E20" s="4">
        <f t="shared" si="3"/>
        <v>67701.247234107141</v>
      </c>
      <c r="F20" s="4">
        <f t="shared" si="3"/>
        <v>67701.247234107141</v>
      </c>
      <c r="G20" s="4">
        <f t="shared" ref="G20:G40" ca="1" si="4">-1*FV(APR_on_Inv/12,Months_of_saving,$A20,Starting_Cash)</f>
        <v>35208.04269233076</v>
      </c>
      <c r="H20" s="4">
        <f t="shared" ref="H20:H40" ca="1" si="5">+House_Sale_Net+G20</f>
        <v>235208.04269233075</v>
      </c>
      <c r="I20" s="4">
        <f t="shared" ref="I20:I40" ca="1" si="6">+H20</f>
        <v>235208.04269233075</v>
      </c>
      <c r="J20" s="4">
        <f t="shared" ref="J20:J40" ca="1" si="7">+I20-(IF(+Cash_for_Boat&gt;0,Boat_Cost,0))</f>
        <v>235208.04269233075</v>
      </c>
      <c r="K20" s="4">
        <f t="shared" ref="K20:AR20" ca="1" si="8">-1*FV(APR_on_Inv/12,12,-1*$B20+IF((K$18-Boat_Bought_Year)&gt;Boat_Term,0,IF(Cash_for_Boat=1,0,-1*Boat_Payment))+K$17/12,J20)-(K$15*College_yr)</f>
        <v>218287.27494447251</v>
      </c>
      <c r="L20" s="4">
        <f t="shared" ca="1" si="8"/>
        <v>200322.871266859</v>
      </c>
      <c r="M20" s="4">
        <f t="shared" ca="1" si="8"/>
        <v>181250.46247895976</v>
      </c>
      <c r="N20" s="4">
        <f t="shared" ca="1" si="8"/>
        <v>161001.70925003767</v>
      </c>
      <c r="O20" s="4">
        <f t="shared" ca="1" si="8"/>
        <v>139504.05722897151</v>
      </c>
      <c r="P20" s="4">
        <f t="shared" ca="1" si="8"/>
        <v>61680.477071021567</v>
      </c>
      <c r="Q20" s="4">
        <f t="shared" ca="1" si="8"/>
        <v>-20943.09122253205</v>
      </c>
      <c r="R20" s="4">
        <f t="shared" ca="1" si="8"/>
        <v>-163662.70041686893</v>
      </c>
      <c r="S20" s="4">
        <f t="shared" ca="1" si="8"/>
        <v>-315184.94281646877</v>
      </c>
      <c r="T20" s="4">
        <f t="shared" ca="1" si="8"/>
        <v>-421052.7455760779</v>
      </c>
      <c r="U20" s="4">
        <f t="shared" ca="1" si="8"/>
        <v>-533450.24275680189</v>
      </c>
      <c r="V20" s="4">
        <f t="shared" ca="1" si="8"/>
        <v>-597780.17162267899</v>
      </c>
      <c r="W20" s="4">
        <f t="shared" ca="1" si="8"/>
        <v>-666077.82973840216</v>
      </c>
      <c r="X20" s="4">
        <f t="shared" ca="1" si="8"/>
        <v>-738587.93796217267</v>
      </c>
      <c r="Y20" s="4">
        <f t="shared" ca="1" si="8"/>
        <v>-815570.31099924329</v>
      </c>
      <c r="Z20" s="4">
        <f t="shared" ca="1" si="8"/>
        <v>-897300.78835737694</v>
      </c>
      <c r="AA20" s="4">
        <f t="shared" ca="1" si="8"/>
        <v>-984072.22272160114</v>
      </c>
      <c r="AB20" s="4">
        <f t="shared" ca="1" si="8"/>
        <v>-1076195.5292897546</v>
      </c>
      <c r="AC20" s="4">
        <f t="shared" ca="1" si="8"/>
        <v>-1154908.477047601</v>
      </c>
      <c r="AD20" s="4">
        <f t="shared" ca="1" si="8"/>
        <v>-1238476.267188556</v>
      </c>
      <c r="AE20" s="4">
        <f t="shared" ca="1" si="8"/>
        <v>-1327198.3357677567</v>
      </c>
      <c r="AF20" s="4">
        <f t="shared" ca="1" si="8"/>
        <v>-1421392.5874010143</v>
      </c>
      <c r="AG20" s="4">
        <f t="shared" ca="1" si="8"/>
        <v>-1521396.5343652251</v>
      </c>
      <c r="AH20" s="4">
        <f t="shared" ca="1" si="8"/>
        <v>-1627568.5059560018</v>
      </c>
      <c r="AI20" s="4">
        <f t="shared" ca="1" si="8"/>
        <v>-1740288.9324358371</v>
      </c>
      <c r="AJ20" s="4">
        <f t="shared" ca="1" si="8"/>
        <v>-1859961.7081733816</v>
      </c>
      <c r="AK20" s="4">
        <f t="shared" ca="1" si="8"/>
        <v>-1987015.6388581686</v>
      </c>
      <c r="AL20" s="4">
        <f t="shared" ca="1" si="8"/>
        <v>-2121905.9779763767</v>
      </c>
      <c r="AM20" s="4">
        <f t="shared" ca="1" si="8"/>
        <v>-2265116.0580530562</v>
      </c>
      <c r="AN20" s="4">
        <f t="shared" ca="1" si="8"/>
        <v>-2417159.0225058049</v>
      </c>
      <c r="AO20" s="4">
        <f t="shared" ca="1" si="8"/>
        <v>-2578579.6643153904</v>
      </c>
      <c r="AP20" s="4">
        <f t="shared" ca="1" si="8"/>
        <v>-2749956.3781015542</v>
      </c>
      <c r="AQ20" s="4">
        <f t="shared" ca="1" si="8"/>
        <v>-2931903.2325985767</v>
      </c>
      <c r="AR20" s="4">
        <f t="shared" ca="1" si="8"/>
        <v>-3125072.1709566037</v>
      </c>
    </row>
    <row r="21" spans="1:44">
      <c r="A21" s="16">
        <f t="shared" ref="A21:A39" si="9">+A20</f>
        <v>200</v>
      </c>
      <c r="B21" s="16">
        <f t="shared" ref="B21:B39" si="10">+B20+500</f>
        <v>1500</v>
      </c>
      <c r="C21" s="4">
        <f t="shared" si="3"/>
        <v>55551.003067804784</v>
      </c>
      <c r="D21" s="4">
        <f t="shared" si="3"/>
        <v>61444.379858484899</v>
      </c>
      <c r="E21" s="4">
        <f t="shared" si="3"/>
        <v>67701.247234107141</v>
      </c>
      <c r="F21" s="4">
        <f t="shared" si="3"/>
        <v>67701.247234107141</v>
      </c>
      <c r="G21" s="4">
        <f t="shared" ca="1" si="4"/>
        <v>35208.04269233076</v>
      </c>
      <c r="H21" s="4">
        <f t="shared" ca="1" si="5"/>
        <v>235208.04269233075</v>
      </c>
      <c r="I21" s="4">
        <f t="shared" ca="1" si="6"/>
        <v>235208.04269233075</v>
      </c>
      <c r="J21" s="4">
        <f t="shared" ca="1" si="7"/>
        <v>235208.04269233075</v>
      </c>
      <c r="K21" s="4">
        <f t="shared" ref="K21:AR21" ca="1" si="11">-1*FV(APR_on_Inv/12,12,-1*$B21+IF((K$18-Boat_Bought_Year)&gt;Boat_Term,0,IF(Cash_for_Boat=1,0,-1*Boat_Payment))+K$17/12,J21)-(K$15*College_yr)</f>
        <v>212119.49375802276</v>
      </c>
      <c r="L21" s="4">
        <f t="shared" ca="1" si="11"/>
        <v>187606.89364632027</v>
      </c>
      <c r="M21" s="4">
        <f t="shared" ca="1" si="11"/>
        <v>161582.40999661852</v>
      </c>
      <c r="N21" s="4">
        <f t="shared" ca="1" si="11"/>
        <v>133952.79314049977</v>
      </c>
      <c r="O21" s="4">
        <f t="shared" ca="1" si="11"/>
        <v>104619.04197404117</v>
      </c>
      <c r="P21" s="4">
        <f t="shared" ca="1" si="11"/>
        <v>18476.049221857771</v>
      </c>
      <c r="Q21" s="4">
        <f t="shared" ca="1" si="11"/>
        <v>-72980.054830739595</v>
      </c>
      <c r="R21" s="4">
        <f t="shared" ca="1" si="11"/>
        <v>-225076.97126295298</v>
      </c>
      <c r="S21" s="4">
        <f t="shared" ca="1" si="11"/>
        <v>-386554.89269204263</v>
      </c>
      <c r="T21" s="4">
        <f t="shared" ca="1" si="11"/>
        <v>-502992.41897930583</v>
      </c>
      <c r="U21" s="4">
        <f t="shared" ca="1" si="11"/>
        <v>-626611.55710688233</v>
      </c>
      <c r="V21" s="4">
        <f t="shared" ca="1" si="11"/>
        <v>-702855.25317874283</v>
      </c>
      <c r="W21" s="4">
        <f t="shared" ca="1" si="11"/>
        <v>-783801.49359277752</v>
      </c>
      <c r="X21" s="4">
        <f t="shared" ca="1" si="11"/>
        <v>-869740.3209942074</v>
      </c>
      <c r="Y21" s="4">
        <f t="shared" ca="1" si="11"/>
        <v>-960979.66722395818</v>
      </c>
      <c r="Z21" s="4">
        <f t="shared" ca="1" si="11"/>
        <v>-1057846.4566851072</v>
      </c>
      <c r="AA21" s="4">
        <f t="shared" ca="1" si="11"/>
        <v>-1160687.7777625588</v>
      </c>
      <c r="AB21" s="4">
        <f t="shared" ca="1" si="11"/>
        <v>-1269872.126493322</v>
      </c>
      <c r="AC21" s="4">
        <f t="shared" ca="1" si="11"/>
        <v>-1366698.4041624959</v>
      </c>
      <c r="AD21" s="4">
        <f t="shared" ca="1" si="11"/>
        <v>-1469496.7147692887</v>
      </c>
      <c r="AE21" s="4">
        <f t="shared" ca="1" si="11"/>
        <v>-1578635.4002376753</v>
      </c>
      <c r="AF21" s="4">
        <f t="shared" ca="1" si="11"/>
        <v>-1694505.5210155197</v>
      </c>
      <c r="AG21" s="4">
        <f t="shared" ca="1" si="11"/>
        <v>-1817522.2573034167</v>
      </c>
      <c r="AH21" s="4">
        <f t="shared" ca="1" si="11"/>
        <v>-1948126.3967082631</v>
      </c>
      <c r="AI21" s="4">
        <f t="shared" ca="1" si="11"/>
        <v>-2086785.9136520461</v>
      </c>
      <c r="AJ21" s="4">
        <f t="shared" ca="1" si="11"/>
        <v>-2233997.6461951104</v>
      </c>
      <c r="AK21" s="4">
        <f t="shared" ca="1" si="11"/>
        <v>-2390289.0762822125</v>
      </c>
      <c r="AL21" s="4">
        <f t="shared" ca="1" si="11"/>
        <v>-2556220.2197902598</v>
      </c>
      <c r="AM21" s="4">
        <f t="shared" ca="1" si="11"/>
        <v>-2732385.6331500579</v>
      </c>
      <c r="AN21" s="4">
        <f t="shared" ca="1" si="11"/>
        <v>-2919416.5437320927</v>
      </c>
      <c r="AO21" s="4">
        <f t="shared" ca="1" si="11"/>
        <v>-3117983.1116298521</v>
      </c>
      <c r="AP21" s="4">
        <f t="shared" ca="1" si="11"/>
        <v>-3328796.8309449884</v>
      </c>
      <c r="AQ21" s="4">
        <f t="shared" ca="1" si="11"/>
        <v>-3552613.0791784986</v>
      </c>
      <c r="AR21" s="4">
        <f t="shared" ca="1" si="11"/>
        <v>-3790233.8238627729</v>
      </c>
    </row>
    <row r="22" spans="1:44">
      <c r="A22" s="16">
        <f t="shared" si="9"/>
        <v>200</v>
      </c>
      <c r="B22" s="16">
        <f t="shared" si="10"/>
        <v>2000</v>
      </c>
      <c r="C22" s="4">
        <f t="shared" si="3"/>
        <v>55551.003067804784</v>
      </c>
      <c r="D22" s="4">
        <f t="shared" si="3"/>
        <v>61444.379858484899</v>
      </c>
      <c r="E22" s="4">
        <f t="shared" si="3"/>
        <v>67701.247234107141</v>
      </c>
      <c r="F22" s="4">
        <f t="shared" si="3"/>
        <v>67701.247234107141</v>
      </c>
      <c r="G22" s="4">
        <f t="shared" ca="1" si="4"/>
        <v>35208.04269233076</v>
      </c>
      <c r="H22" s="4">
        <f t="shared" ca="1" si="5"/>
        <v>235208.04269233075</v>
      </c>
      <c r="I22" s="4">
        <f t="shared" ca="1" si="6"/>
        <v>235208.04269233075</v>
      </c>
      <c r="J22" s="4">
        <f t="shared" ca="1" si="7"/>
        <v>235208.04269233075</v>
      </c>
      <c r="K22" s="4">
        <f t="shared" ref="K22:AR22" ca="1" si="12">-1*FV(APR_on_Inv/12,12,-1*$B22+IF((K$18-Boat_Bought_Year)&gt;Boat_Term,0,IF(Cash_for_Boat=1,0,-1*Boat_Payment))+K$17/12,J22)-(K$15*College_yr)</f>
        <v>205951.71257157298</v>
      </c>
      <c r="L22" s="4">
        <f t="shared" ca="1" si="12"/>
        <v>174890.91602578148</v>
      </c>
      <c r="M22" s="4">
        <f t="shared" ca="1" si="12"/>
        <v>141914.35751427722</v>
      </c>
      <c r="N22" s="4">
        <f t="shared" ca="1" si="12"/>
        <v>106903.87703096178</v>
      </c>
      <c r="O22" s="4">
        <f t="shared" ca="1" si="12"/>
        <v>69734.026719110771</v>
      </c>
      <c r="P22" s="4">
        <f t="shared" ca="1" si="12"/>
        <v>-24728.378627306127</v>
      </c>
      <c r="Q22" s="4">
        <f t="shared" ca="1" si="12"/>
        <v>-125017.01843894724</v>
      </c>
      <c r="R22" s="4">
        <f t="shared" ca="1" si="12"/>
        <v>-286491.24210903712</v>
      </c>
      <c r="S22" s="4">
        <f t="shared" ca="1" si="12"/>
        <v>-457924.84256761661</v>
      </c>
      <c r="T22" s="4">
        <f t="shared" ca="1" si="12"/>
        <v>-584932.09238253383</v>
      </c>
      <c r="U22" s="4">
        <f t="shared" ca="1" si="12"/>
        <v>-719772.87145696266</v>
      </c>
      <c r="V22" s="4">
        <f t="shared" ca="1" si="12"/>
        <v>-807930.33473480644</v>
      </c>
      <c r="W22" s="4">
        <f t="shared" ca="1" si="12"/>
        <v>-901525.15744715242</v>
      </c>
      <c r="X22" s="4">
        <f t="shared" ca="1" si="12"/>
        <v>-1000892.7040262414</v>
      </c>
      <c r="Y22" s="4">
        <f t="shared" ca="1" si="12"/>
        <v>-1106389.0234486724</v>
      </c>
      <c r="Z22" s="4">
        <f t="shared" ca="1" si="12"/>
        <v>-1218392.1250128369</v>
      </c>
      <c r="AA22" s="4">
        <f t="shared" ca="1" si="12"/>
        <v>-1337303.3328035162</v>
      </c>
      <c r="AB22" s="4">
        <f t="shared" ca="1" si="12"/>
        <v>-1463548.7236968891</v>
      </c>
      <c r="AC22" s="4">
        <f t="shared" ca="1" si="12"/>
        <v>-1578488.3312773905</v>
      </c>
      <c r="AD22" s="4">
        <f t="shared" ca="1" si="12"/>
        <v>-1700517.1623500211</v>
      </c>
      <c r="AE22" s="4">
        <f t="shared" ca="1" si="12"/>
        <v>-1830072.4647075939</v>
      </c>
      <c r="AF22" s="4">
        <f t="shared" ca="1" si="12"/>
        <v>-1967618.4546300254</v>
      </c>
      <c r="AG22" s="4">
        <f t="shared" ca="1" si="12"/>
        <v>-2113647.9802416088</v>
      </c>
      <c r="AH22" s="4">
        <f t="shared" ca="1" si="12"/>
        <v>-2268684.2874605255</v>
      </c>
      <c r="AI22" s="4">
        <f t="shared" ca="1" si="12"/>
        <v>-2433282.894868257</v>
      </c>
      <c r="AJ22" s="4">
        <f t="shared" ca="1" si="12"/>
        <v>-2608033.5842168406</v>
      </c>
      <c r="AK22" s="4">
        <f t="shared" ca="1" si="12"/>
        <v>-2793562.5137062576</v>
      </c>
      <c r="AL22" s="4">
        <f t="shared" ca="1" si="12"/>
        <v>-2990534.4616041444</v>
      </c>
      <c r="AM22" s="4">
        <f t="shared" ca="1" si="12"/>
        <v>-3199655.2082470609</v>
      </c>
      <c r="AN22" s="4">
        <f t="shared" ca="1" si="12"/>
        <v>-3421674.0649583824</v>
      </c>
      <c r="AO22" s="4">
        <f t="shared" ca="1" si="12"/>
        <v>-3657386.5589443156</v>
      </c>
      <c r="AP22" s="4">
        <f t="shared" ca="1" si="12"/>
        <v>-3907637.2837884245</v>
      </c>
      <c r="AQ22" s="4">
        <f t="shared" ca="1" si="12"/>
        <v>-4173322.9257584224</v>
      </c>
      <c r="AR22" s="4">
        <f t="shared" ca="1" si="12"/>
        <v>-4455395.4767689444</v>
      </c>
    </row>
    <row r="23" spans="1:44">
      <c r="A23" s="16">
        <f t="shared" si="9"/>
        <v>200</v>
      </c>
      <c r="B23" s="16">
        <f t="shared" si="10"/>
        <v>2500</v>
      </c>
      <c r="C23" s="4">
        <f t="shared" si="3"/>
        <v>55551.003067804784</v>
      </c>
      <c r="D23" s="4">
        <f t="shared" si="3"/>
        <v>61444.379858484899</v>
      </c>
      <c r="E23" s="4">
        <f t="shared" si="3"/>
        <v>67701.247234107141</v>
      </c>
      <c r="F23" s="4">
        <f t="shared" si="3"/>
        <v>67701.247234107141</v>
      </c>
      <c r="G23" s="4">
        <f t="shared" ca="1" si="4"/>
        <v>35208.04269233076</v>
      </c>
      <c r="H23" s="4">
        <f t="shared" ca="1" si="5"/>
        <v>235208.04269233075</v>
      </c>
      <c r="I23" s="4">
        <f t="shared" ca="1" si="6"/>
        <v>235208.04269233075</v>
      </c>
      <c r="J23" s="4">
        <f t="shared" ca="1" si="7"/>
        <v>235208.04269233075</v>
      </c>
      <c r="K23" s="4">
        <f t="shared" ref="K23:AR23" ca="1" si="13">-1*FV(APR_on_Inv/12,12,-1*$B23+IF((K$18-Boat_Bought_Year)&gt;Boat_Term,0,IF(Cash_for_Boat=1,0,-1*Boat_Payment))+K$17/12,J23)-(K$15*College_yr)</f>
        <v>199783.93138512323</v>
      </c>
      <c r="L23" s="4">
        <f t="shared" ca="1" si="13"/>
        <v>162174.93840524272</v>
      </c>
      <c r="M23" s="4">
        <f t="shared" ca="1" si="13"/>
        <v>122246.30503193595</v>
      </c>
      <c r="N23" s="4">
        <f t="shared" ca="1" si="13"/>
        <v>79854.960921423859</v>
      </c>
      <c r="O23" s="4">
        <f t="shared" ca="1" si="13"/>
        <v>34849.011464180425</v>
      </c>
      <c r="P23" s="4">
        <f t="shared" ca="1" si="13"/>
        <v>-67932.806476469967</v>
      </c>
      <c r="Q23" s="4">
        <f t="shared" ca="1" si="13"/>
        <v>-177053.98204715483</v>
      </c>
      <c r="R23" s="4">
        <f t="shared" ca="1" si="13"/>
        <v>-347905.51295512123</v>
      </c>
      <c r="S23" s="4">
        <f t="shared" ca="1" si="13"/>
        <v>-529294.79244319058</v>
      </c>
      <c r="T23" s="4">
        <f t="shared" ca="1" si="13"/>
        <v>-666871.76578576188</v>
      </c>
      <c r="U23" s="4">
        <f t="shared" ca="1" si="13"/>
        <v>-812934.18580704322</v>
      </c>
      <c r="V23" s="4">
        <f t="shared" ca="1" si="13"/>
        <v>-913005.4162908704</v>
      </c>
      <c r="W23" s="4">
        <f t="shared" ca="1" si="13"/>
        <v>-1019248.8213015279</v>
      </c>
      <c r="X23" s="4">
        <f t="shared" ca="1" si="13"/>
        <v>-1132045.0870582764</v>
      </c>
      <c r="Y23" s="4">
        <f t="shared" ca="1" si="13"/>
        <v>-1251798.3796733874</v>
      </c>
      <c r="Z23" s="4">
        <f t="shared" ca="1" si="13"/>
        <v>-1378937.7933405673</v>
      </c>
      <c r="AA23" s="4">
        <f t="shared" ca="1" si="13"/>
        <v>-1513918.8878444741</v>
      </c>
      <c r="AB23" s="4">
        <f t="shared" ca="1" si="13"/>
        <v>-1657225.3209004567</v>
      </c>
      <c r="AC23" s="4">
        <f t="shared" ca="1" si="13"/>
        <v>-1790278.2583922856</v>
      </c>
      <c r="AD23" s="4">
        <f t="shared" ca="1" si="13"/>
        <v>-1931537.6099307542</v>
      </c>
      <c r="AE23" s="4">
        <f t="shared" ca="1" si="13"/>
        <v>-2081509.5291775134</v>
      </c>
      <c r="AF23" s="4">
        <f t="shared" ca="1" si="13"/>
        <v>-2240731.388244532</v>
      </c>
      <c r="AG23" s="4">
        <f t="shared" ca="1" si="13"/>
        <v>-2409773.7031798018</v>
      </c>
      <c r="AH23" s="4">
        <f t="shared" ca="1" si="13"/>
        <v>-2589242.1782127884</v>
      </c>
      <c r="AI23" s="4">
        <f t="shared" ca="1" si="13"/>
        <v>-2779779.8760844679</v>
      </c>
      <c r="AJ23" s="4">
        <f t="shared" ca="1" si="13"/>
        <v>-2982069.5222385712</v>
      </c>
      <c r="AK23" s="4">
        <f t="shared" ca="1" si="13"/>
        <v>-3196835.9511303031</v>
      </c>
      <c r="AL23" s="4">
        <f t="shared" ca="1" si="13"/>
        <v>-3424848.703418029</v>
      </c>
      <c r="AM23" s="4">
        <f t="shared" ca="1" si="13"/>
        <v>-3666924.7833440639</v>
      </c>
      <c r="AN23" s="4">
        <f t="shared" ca="1" si="13"/>
        <v>-3923931.5861846716</v>
      </c>
      <c r="AO23" s="4">
        <f t="shared" ca="1" si="13"/>
        <v>-4196790.0062587783</v>
      </c>
      <c r="AP23" s="4">
        <f t="shared" ca="1" si="13"/>
        <v>-4486477.7366318591</v>
      </c>
      <c r="AQ23" s="4">
        <f t="shared" ca="1" si="13"/>
        <v>-4794032.7723383447</v>
      </c>
      <c r="AR23" s="4">
        <f t="shared" ca="1" si="13"/>
        <v>-5120557.1296751136</v>
      </c>
    </row>
    <row r="24" spans="1:44">
      <c r="A24" s="16">
        <f t="shared" si="9"/>
        <v>200</v>
      </c>
      <c r="B24" s="16">
        <f t="shared" si="10"/>
        <v>3000</v>
      </c>
      <c r="C24" s="4">
        <f t="shared" si="3"/>
        <v>55551.003067804784</v>
      </c>
      <c r="D24" s="4">
        <f t="shared" si="3"/>
        <v>61444.379858484899</v>
      </c>
      <c r="E24" s="4">
        <f t="shared" si="3"/>
        <v>67701.247234107141</v>
      </c>
      <c r="F24" s="4">
        <f t="shared" si="3"/>
        <v>67701.247234107141</v>
      </c>
      <c r="G24" s="4">
        <f t="shared" ca="1" si="4"/>
        <v>35208.04269233076</v>
      </c>
      <c r="H24" s="4">
        <f t="shared" ca="1" si="5"/>
        <v>235208.04269233075</v>
      </c>
      <c r="I24" s="4">
        <f t="shared" ca="1" si="6"/>
        <v>235208.04269233075</v>
      </c>
      <c r="J24" s="4">
        <f t="shared" ca="1" si="7"/>
        <v>235208.04269233075</v>
      </c>
      <c r="K24" s="4">
        <f t="shared" ref="K24:AR24" ca="1" si="14">-1*FV(APR_on_Inv/12,12,-1*$B24+IF((K$18-Boat_Bought_Year)&gt;Boat_Term,0,IF(Cash_for_Boat=1,0,-1*Boat_Payment))+K$17/12,J24)-(K$15*College_yr)</f>
        <v>193616.15019867348</v>
      </c>
      <c r="L24" s="4">
        <f t="shared" ca="1" si="14"/>
        <v>149458.96078470399</v>
      </c>
      <c r="M24" s="4">
        <f t="shared" ca="1" si="14"/>
        <v>102578.2525495947</v>
      </c>
      <c r="N24" s="4">
        <f t="shared" ca="1" si="14"/>
        <v>52806.044811885942</v>
      </c>
      <c r="O24" s="4">
        <f t="shared" ca="1" si="14"/>
        <v>-36.003790749906329</v>
      </c>
      <c r="P24" s="4">
        <f t="shared" ca="1" si="14"/>
        <v>-111137.23432563376</v>
      </c>
      <c r="Q24" s="4">
        <f t="shared" ca="1" si="14"/>
        <v>-229090.94565536236</v>
      </c>
      <c r="R24" s="4">
        <f t="shared" ca="1" si="14"/>
        <v>-409319.78380120522</v>
      </c>
      <c r="S24" s="4">
        <f t="shared" ca="1" si="14"/>
        <v>-600664.74231876433</v>
      </c>
      <c r="T24" s="4">
        <f t="shared" ca="1" si="14"/>
        <v>-748811.43918898969</v>
      </c>
      <c r="U24" s="4">
        <f t="shared" ca="1" si="14"/>
        <v>-906095.50015712355</v>
      </c>
      <c r="V24" s="4">
        <f t="shared" ca="1" si="14"/>
        <v>-1018080.4978469341</v>
      </c>
      <c r="W24" s="4">
        <f t="shared" ca="1" si="14"/>
        <v>-1136972.485155903</v>
      </c>
      <c r="X24" s="4">
        <f t="shared" ca="1" si="14"/>
        <v>-1263197.4700903108</v>
      </c>
      <c r="Y24" s="4">
        <f t="shared" ca="1" si="14"/>
        <v>-1397207.7358981019</v>
      </c>
      <c r="Z24" s="4">
        <f t="shared" ca="1" si="14"/>
        <v>-1539483.4616682974</v>
      </c>
      <c r="AA24" s="4">
        <f t="shared" ca="1" si="14"/>
        <v>-1690534.4428854319</v>
      </c>
      <c r="AB24" s="4">
        <f t="shared" ca="1" si="14"/>
        <v>-1850901.9181040246</v>
      </c>
      <c r="AC24" s="4">
        <f t="shared" ca="1" si="14"/>
        <v>-2002068.1855071811</v>
      </c>
      <c r="AD24" s="4">
        <f t="shared" ca="1" si="14"/>
        <v>-2162558.0575114875</v>
      </c>
      <c r="AE24" s="4">
        <f t="shared" ca="1" si="14"/>
        <v>-2332946.593647433</v>
      </c>
      <c r="AF24" s="4">
        <f t="shared" ca="1" si="14"/>
        <v>-2513844.3218590384</v>
      </c>
      <c r="AG24" s="4">
        <f t="shared" ca="1" si="14"/>
        <v>-2705899.4261179944</v>
      </c>
      <c r="AH24" s="4">
        <f t="shared" ca="1" si="14"/>
        <v>-2909800.0689650504</v>
      </c>
      <c r="AI24" s="4">
        <f t="shared" ca="1" si="14"/>
        <v>-3126276.8573006773</v>
      </c>
      <c r="AJ24" s="4">
        <f t="shared" ca="1" si="14"/>
        <v>-3356105.4602603</v>
      </c>
      <c r="AK24" s="4">
        <f t="shared" ca="1" si="14"/>
        <v>-3600109.3885543463</v>
      </c>
      <c r="AL24" s="4">
        <f t="shared" ca="1" si="14"/>
        <v>-3859162.9452319113</v>
      </c>
      <c r="AM24" s="4">
        <f t="shared" ca="1" si="14"/>
        <v>-4134194.3584410641</v>
      </c>
      <c r="AN24" s="4">
        <f t="shared" ca="1" si="14"/>
        <v>-4426189.107410958</v>
      </c>
      <c r="AO24" s="4">
        <f t="shared" ca="1" si="14"/>
        <v>-4736193.4535732381</v>
      </c>
      <c r="AP24" s="4">
        <f t="shared" ca="1" si="14"/>
        <v>-5065318.1894752923</v>
      </c>
      <c r="AQ24" s="4">
        <f t="shared" ca="1" si="14"/>
        <v>-5414742.6189182661</v>
      </c>
      <c r="AR24" s="4">
        <f t="shared" ca="1" si="14"/>
        <v>-5785718.7825812828</v>
      </c>
    </row>
    <row r="25" spans="1:44" s="18" customFormat="1">
      <c r="A25" s="16">
        <f t="shared" si="9"/>
        <v>200</v>
      </c>
      <c r="B25" s="16">
        <f t="shared" si="10"/>
        <v>3500</v>
      </c>
      <c r="C25" s="4">
        <f t="shared" si="3"/>
        <v>55551.003067804784</v>
      </c>
      <c r="D25" s="4">
        <f t="shared" si="3"/>
        <v>61444.379858484899</v>
      </c>
      <c r="E25" s="4">
        <f t="shared" si="3"/>
        <v>67701.247234107141</v>
      </c>
      <c r="F25" s="4">
        <f t="shared" si="3"/>
        <v>67701.247234107141</v>
      </c>
      <c r="G25" s="4">
        <f t="shared" ca="1" si="4"/>
        <v>35208.04269233076</v>
      </c>
      <c r="H25" s="4">
        <f t="shared" ca="1" si="5"/>
        <v>235208.04269233075</v>
      </c>
      <c r="I25" s="4">
        <f t="shared" ca="1" si="6"/>
        <v>235208.04269233075</v>
      </c>
      <c r="J25" s="4">
        <f t="shared" ca="1" si="7"/>
        <v>235208.04269233075</v>
      </c>
      <c r="K25" s="4">
        <f t="shared" ref="K25:AR25" ca="1" si="15">-1*FV(APR_on_Inv/12,12,-1*$B25+IF((K$18-Boat_Bought_Year)&gt;Boat_Term,0,IF(Cash_for_Boat=1,0,-1*Boat_Payment))+K$17/12,J25)-(K$15*College_yr)</f>
        <v>187448.3690122237</v>
      </c>
      <c r="L25" s="4">
        <f t="shared" ca="1" si="15"/>
        <v>136742.9831641652</v>
      </c>
      <c r="M25" s="4">
        <f t="shared" ca="1" si="15"/>
        <v>82910.200067253376</v>
      </c>
      <c r="N25" s="4">
        <f t="shared" ca="1" si="15"/>
        <v>25757.128702347945</v>
      </c>
      <c r="O25" s="4">
        <f t="shared" ca="1" si="15"/>
        <v>-34921.019045680332</v>
      </c>
      <c r="P25" s="4">
        <f t="shared" ca="1" si="15"/>
        <v>-154341.66217479768</v>
      </c>
      <c r="Q25" s="4">
        <f t="shared" ca="1" si="15"/>
        <v>-281127.90926357004</v>
      </c>
      <c r="R25" s="4">
        <f t="shared" ca="1" si="15"/>
        <v>-470734.05464728939</v>
      </c>
      <c r="S25" s="4">
        <f t="shared" ca="1" si="15"/>
        <v>-672034.69219433842</v>
      </c>
      <c r="T25" s="4">
        <f t="shared" ca="1" si="15"/>
        <v>-830751.11259221775</v>
      </c>
      <c r="U25" s="4">
        <f t="shared" ca="1" si="15"/>
        <v>-999256.81450720399</v>
      </c>
      <c r="V25" s="4">
        <f t="shared" ca="1" si="15"/>
        <v>-1123155.5794029979</v>
      </c>
      <c r="W25" s="4">
        <f t="shared" ca="1" si="15"/>
        <v>-1254696.1490102783</v>
      </c>
      <c r="X25" s="4">
        <f t="shared" ca="1" si="15"/>
        <v>-1394349.8531223454</v>
      </c>
      <c r="Y25" s="4">
        <f t="shared" ca="1" si="15"/>
        <v>-1542617.0921228167</v>
      </c>
      <c r="Z25" s="4">
        <f t="shared" ca="1" si="15"/>
        <v>-1700029.1299960276</v>
      </c>
      <c r="AA25" s="4">
        <f t="shared" ca="1" si="15"/>
        <v>-1867149.9979263896</v>
      </c>
      <c r="AB25" s="4">
        <f t="shared" ca="1" si="15"/>
        <v>-2044578.515307592</v>
      </c>
      <c r="AC25" s="4">
        <f t="shared" ca="1" si="15"/>
        <v>-2213858.1126220757</v>
      </c>
      <c r="AD25" s="4">
        <f t="shared" ca="1" si="15"/>
        <v>-2393578.5050922199</v>
      </c>
      <c r="AE25" s="4">
        <f t="shared" ca="1" si="15"/>
        <v>-2584383.6581173516</v>
      </c>
      <c r="AF25" s="4">
        <f t="shared" ca="1" si="15"/>
        <v>-2786957.2554735439</v>
      </c>
      <c r="AG25" s="4">
        <f t="shared" ca="1" si="15"/>
        <v>-3002025.149056186</v>
      </c>
      <c r="AH25" s="4">
        <f t="shared" ca="1" si="15"/>
        <v>-3230357.9597173119</v>
      </c>
      <c r="AI25" s="4">
        <f t="shared" ca="1" si="15"/>
        <v>-3472773.8385168868</v>
      </c>
      <c r="AJ25" s="4">
        <f t="shared" ca="1" si="15"/>
        <v>-3730141.3982820287</v>
      </c>
      <c r="AK25" s="4">
        <f t="shared" ca="1" si="15"/>
        <v>-4003382.8259783899</v>
      </c>
      <c r="AL25" s="4">
        <f t="shared" ca="1" si="15"/>
        <v>-4293477.187045794</v>
      </c>
      <c r="AM25" s="4">
        <f t="shared" ca="1" si="15"/>
        <v>-4601463.9335380653</v>
      </c>
      <c r="AN25" s="4">
        <f t="shared" ca="1" si="15"/>
        <v>-4928446.6286372459</v>
      </c>
      <c r="AO25" s="4">
        <f t="shared" ca="1" si="15"/>
        <v>-5275596.9008876998</v>
      </c>
      <c r="AP25" s="4">
        <f t="shared" ca="1" si="15"/>
        <v>-5644158.6423187265</v>
      </c>
      <c r="AQ25" s="4">
        <f t="shared" ca="1" si="15"/>
        <v>-6035452.4654981876</v>
      </c>
      <c r="AR25" s="4">
        <f t="shared" ca="1" si="15"/>
        <v>-6450880.435487451</v>
      </c>
    </row>
    <row r="26" spans="1:44" s="18" customFormat="1">
      <c r="A26" s="16">
        <f t="shared" si="9"/>
        <v>200</v>
      </c>
      <c r="B26" s="16">
        <f t="shared" si="10"/>
        <v>4000</v>
      </c>
      <c r="C26" s="4">
        <f t="shared" si="3"/>
        <v>55551.003067804784</v>
      </c>
      <c r="D26" s="4">
        <f t="shared" si="3"/>
        <v>61444.379858484899</v>
      </c>
      <c r="E26" s="4">
        <f t="shared" si="3"/>
        <v>67701.247234107141</v>
      </c>
      <c r="F26" s="4">
        <f t="shared" si="3"/>
        <v>67701.247234107141</v>
      </c>
      <c r="G26" s="4">
        <f t="shared" ca="1" si="4"/>
        <v>35208.04269233076</v>
      </c>
      <c r="H26" s="4">
        <f t="shared" ca="1" si="5"/>
        <v>235208.04269233075</v>
      </c>
      <c r="I26" s="4">
        <f t="shared" ca="1" si="6"/>
        <v>235208.04269233075</v>
      </c>
      <c r="J26" s="4">
        <f t="shared" ca="1" si="7"/>
        <v>235208.04269233075</v>
      </c>
      <c r="K26" s="4">
        <f t="shared" ref="K26:AR26" ca="1" si="16">-1*FV(APR_on_Inv/12,12,-1*$B26+IF((K$18-Boat_Bought_Year)&gt;Boat_Term,0,IF(Cash_for_Boat=1,0,-1*Boat_Payment))+K$17/12,J26)-(K$15*College_yr)</f>
        <v>181280.58782577395</v>
      </c>
      <c r="L26" s="4">
        <f t="shared" ca="1" si="16"/>
        <v>124027.00554362647</v>
      </c>
      <c r="M26" s="4">
        <f t="shared" ca="1" si="16"/>
        <v>63242.147584912163</v>
      </c>
      <c r="N26" s="4">
        <f t="shared" ca="1" si="16"/>
        <v>-1291.7874071899278</v>
      </c>
      <c r="O26" s="4">
        <f t="shared" ca="1" si="16"/>
        <v>-69806.034300610612</v>
      </c>
      <c r="P26" s="4">
        <f t="shared" ca="1" si="16"/>
        <v>-197546.09002396144</v>
      </c>
      <c r="Q26" s="4">
        <f t="shared" ca="1" si="16"/>
        <v>-333164.87287177751</v>
      </c>
      <c r="R26" s="4">
        <f t="shared" ca="1" si="16"/>
        <v>-532148.32549337333</v>
      </c>
      <c r="S26" s="4">
        <f t="shared" ca="1" si="16"/>
        <v>-743404.64206991217</v>
      </c>
      <c r="T26" s="4">
        <f t="shared" ca="1" si="16"/>
        <v>-912690.78599544556</v>
      </c>
      <c r="U26" s="4">
        <f t="shared" ca="1" si="16"/>
        <v>-1092418.1288572843</v>
      </c>
      <c r="V26" s="4">
        <f t="shared" ca="1" si="16"/>
        <v>-1228230.6609590615</v>
      </c>
      <c r="W26" s="4">
        <f t="shared" ca="1" si="16"/>
        <v>-1372419.8128646531</v>
      </c>
      <c r="X26" s="4">
        <f t="shared" ca="1" si="16"/>
        <v>-1525502.2361543791</v>
      </c>
      <c r="Y26" s="4">
        <f t="shared" ca="1" si="16"/>
        <v>-1688026.4483475303</v>
      </c>
      <c r="Z26" s="4">
        <f t="shared" ca="1" si="16"/>
        <v>-1860574.7983237563</v>
      </c>
      <c r="AA26" s="4">
        <f t="shared" ca="1" si="16"/>
        <v>-2043765.5529673456</v>
      </c>
      <c r="AB26" s="4">
        <f t="shared" ca="1" si="16"/>
        <v>-2238255.1125111575</v>
      </c>
      <c r="AC26" s="4">
        <f t="shared" ca="1" si="16"/>
        <v>-2425648.0397369685</v>
      </c>
      <c r="AD26" s="4">
        <f t="shared" ca="1" si="16"/>
        <v>-2624598.9526729505</v>
      </c>
      <c r="AE26" s="4">
        <f t="shared" ca="1" si="16"/>
        <v>-2835820.7225872683</v>
      </c>
      <c r="AF26" s="4">
        <f t="shared" ca="1" si="16"/>
        <v>-3060070.1890880475</v>
      </c>
      <c r="AG26" s="4">
        <f t="shared" ca="1" si="16"/>
        <v>-3298150.8719943757</v>
      </c>
      <c r="AH26" s="4">
        <f t="shared" ca="1" si="16"/>
        <v>-3550915.8504695715</v>
      </c>
      <c r="AI26" s="4">
        <f t="shared" ca="1" si="16"/>
        <v>-3819270.8197330944</v>
      </c>
      <c r="AJ26" s="4">
        <f t="shared" ca="1" si="16"/>
        <v>-4104177.3363037556</v>
      </c>
      <c r="AK26" s="4">
        <f t="shared" ca="1" si="16"/>
        <v>-4406656.2634024322</v>
      </c>
      <c r="AL26" s="4">
        <f t="shared" ca="1" si="16"/>
        <v>-4727791.4288596762</v>
      </c>
      <c r="AM26" s="4">
        <f t="shared" ca="1" si="16"/>
        <v>-5068733.5086350664</v>
      </c>
      <c r="AN26" s="4">
        <f t="shared" ca="1" si="16"/>
        <v>-5430704.1498635337</v>
      </c>
      <c r="AO26" s="4">
        <f t="shared" ca="1" si="16"/>
        <v>-5815000.3482021615</v>
      </c>
      <c r="AP26" s="4">
        <f t="shared" ca="1" si="16"/>
        <v>-6222999.0951621607</v>
      </c>
      <c r="AQ26" s="4">
        <f t="shared" ca="1" si="16"/>
        <v>-6656162.3120781099</v>
      </c>
      <c r="AR26" s="4">
        <f t="shared" ca="1" si="16"/>
        <v>-7116042.0883936211</v>
      </c>
    </row>
    <row r="27" spans="1:44">
      <c r="A27" s="16">
        <f t="shared" si="9"/>
        <v>200</v>
      </c>
      <c r="B27" s="16">
        <f t="shared" si="10"/>
        <v>4500</v>
      </c>
      <c r="C27" s="4">
        <f t="shared" si="3"/>
        <v>55551.003067804784</v>
      </c>
      <c r="D27" s="4">
        <f t="shared" si="3"/>
        <v>61444.379858484899</v>
      </c>
      <c r="E27" s="4">
        <f t="shared" si="3"/>
        <v>67701.247234107141</v>
      </c>
      <c r="F27" s="4">
        <f t="shared" si="3"/>
        <v>67701.247234107141</v>
      </c>
      <c r="G27" s="4">
        <f t="shared" ca="1" si="4"/>
        <v>35208.04269233076</v>
      </c>
      <c r="H27" s="4">
        <f t="shared" ca="1" si="5"/>
        <v>235208.04269233075</v>
      </c>
      <c r="I27" s="4">
        <f t="shared" ca="1" si="6"/>
        <v>235208.04269233075</v>
      </c>
      <c r="J27" s="4">
        <f t="shared" ca="1" si="7"/>
        <v>235208.04269233075</v>
      </c>
      <c r="K27" s="4">
        <f t="shared" ref="K27:AR27" ca="1" si="17">-1*FV(APR_on_Inv/12,12,-1*$B27+IF((K$18-Boat_Bought_Year)&gt;Boat_Term,0,IF(Cash_for_Boat=1,0,-1*Boat_Payment))+K$17/12,J27)-(K$15*College_yr)</f>
        <v>175112.80663932418</v>
      </c>
      <c r="L27" s="4">
        <f t="shared" ca="1" si="17"/>
        <v>111311.02792308769</v>
      </c>
      <c r="M27" s="4">
        <f t="shared" ca="1" si="17"/>
        <v>43574.095102570864</v>
      </c>
      <c r="N27" s="4">
        <f t="shared" ca="1" si="17"/>
        <v>-28340.70351672791</v>
      </c>
      <c r="O27" s="4">
        <f t="shared" ca="1" si="17"/>
        <v>-104691.04955554103</v>
      </c>
      <c r="P27" s="4">
        <f t="shared" ca="1" si="17"/>
        <v>-240750.51787312535</v>
      </c>
      <c r="Q27" s="4">
        <f t="shared" ca="1" si="17"/>
        <v>-385201.83647998521</v>
      </c>
      <c r="R27" s="4">
        <f t="shared" ca="1" si="17"/>
        <v>-593562.59633945767</v>
      </c>
      <c r="S27" s="4">
        <f t="shared" ca="1" si="17"/>
        <v>-814774.59194548626</v>
      </c>
      <c r="T27" s="4">
        <f t="shared" ca="1" si="17"/>
        <v>-994630.45939867361</v>
      </c>
      <c r="U27" s="4">
        <f t="shared" ca="1" si="17"/>
        <v>-1185579.4432073648</v>
      </c>
      <c r="V27" s="4">
        <f t="shared" ca="1" si="17"/>
        <v>-1333305.7425151253</v>
      </c>
      <c r="W27" s="4">
        <f t="shared" ca="1" si="17"/>
        <v>-1490143.4767190283</v>
      </c>
      <c r="X27" s="4">
        <f t="shared" ca="1" si="17"/>
        <v>-1656654.6191864137</v>
      </c>
      <c r="Y27" s="4">
        <f t="shared" ca="1" si="17"/>
        <v>-1833435.8045722451</v>
      </c>
      <c r="Z27" s="4">
        <f t="shared" ca="1" si="17"/>
        <v>-2021120.4666514867</v>
      </c>
      <c r="AA27" s="4">
        <f t="shared" ca="1" si="17"/>
        <v>-2220381.1080083037</v>
      </c>
      <c r="AB27" s="4">
        <f t="shared" ca="1" si="17"/>
        <v>-2431931.7097147256</v>
      </c>
      <c r="AC27" s="4">
        <f t="shared" ca="1" si="17"/>
        <v>-2637437.9668518645</v>
      </c>
      <c r="AD27" s="4">
        <f t="shared" ca="1" si="17"/>
        <v>-2855619.4002536847</v>
      </c>
      <c r="AE27" s="4">
        <f t="shared" ca="1" si="17"/>
        <v>-3087257.7870571888</v>
      </c>
      <c r="AF27" s="4">
        <f t="shared" ca="1" si="17"/>
        <v>-3333183.1227025553</v>
      </c>
      <c r="AG27" s="4">
        <f t="shared" ca="1" si="17"/>
        <v>-3594276.5949325701</v>
      </c>
      <c r="AH27" s="4">
        <f t="shared" ca="1" si="17"/>
        <v>-3871473.7412218358</v>
      </c>
      <c r="AI27" s="4">
        <f t="shared" ca="1" si="17"/>
        <v>-4165767.8009493067</v>
      </c>
      <c r="AJ27" s="4">
        <f t="shared" ca="1" si="17"/>
        <v>-4478213.2743254881</v>
      </c>
      <c r="AK27" s="4">
        <f t="shared" ca="1" si="17"/>
        <v>-4809929.7008264791</v>
      </c>
      <c r="AL27" s="4">
        <f t="shared" ca="1" si="17"/>
        <v>-5162105.6706735622</v>
      </c>
      <c r="AM27" s="4">
        <f t="shared" ca="1" si="17"/>
        <v>-5536003.0837320704</v>
      </c>
      <c r="AN27" s="4">
        <f t="shared" ca="1" si="17"/>
        <v>-5932961.6710898234</v>
      </c>
      <c r="AO27" s="4">
        <f t="shared" ca="1" si="17"/>
        <v>-6354403.795516625</v>
      </c>
      <c r="AP27" s="4">
        <f t="shared" ca="1" si="17"/>
        <v>-6801839.5480055967</v>
      </c>
      <c r="AQ27" s="4">
        <f t="shared" ca="1" si="17"/>
        <v>-7276872.1586580332</v>
      </c>
      <c r="AR27" s="4">
        <f t="shared" ca="1" si="17"/>
        <v>-7781203.7412997922</v>
      </c>
    </row>
    <row r="28" spans="1:44">
      <c r="A28" s="16">
        <f t="shared" si="9"/>
        <v>200</v>
      </c>
      <c r="B28" s="16">
        <f t="shared" si="10"/>
        <v>5000</v>
      </c>
      <c r="C28" s="4">
        <f t="shared" si="3"/>
        <v>55551.003067804784</v>
      </c>
      <c r="D28" s="4">
        <f t="shared" si="3"/>
        <v>61444.379858484899</v>
      </c>
      <c r="E28" s="4">
        <f t="shared" si="3"/>
        <v>67701.247234107141</v>
      </c>
      <c r="F28" s="4">
        <f t="shared" si="3"/>
        <v>67701.247234107141</v>
      </c>
      <c r="G28" s="4">
        <f t="shared" ca="1" si="4"/>
        <v>35208.04269233076</v>
      </c>
      <c r="H28" s="4">
        <f t="shared" ca="1" si="5"/>
        <v>235208.04269233075</v>
      </c>
      <c r="I28" s="4">
        <f t="shared" ca="1" si="6"/>
        <v>235208.04269233075</v>
      </c>
      <c r="J28" s="4">
        <f t="shared" ca="1" si="7"/>
        <v>235208.04269233075</v>
      </c>
      <c r="K28" s="4">
        <f t="shared" ref="K28:AR28" ca="1" si="18">-1*FV(APR_on_Inv/12,12,-1*$B28+IF((K$18-Boat_Bought_Year)&gt;Boat_Term,0,IF(Cash_for_Boat=1,0,-1*Boat_Payment))+K$17/12,J28)-(K$15*College_yr)</f>
        <v>168945.02545287443</v>
      </c>
      <c r="L28" s="4">
        <f t="shared" ca="1" si="18"/>
        <v>98595.050302548945</v>
      </c>
      <c r="M28" s="4">
        <f t="shared" ca="1" si="18"/>
        <v>23906.042620229608</v>
      </c>
      <c r="N28" s="4">
        <f t="shared" ca="1" si="18"/>
        <v>-55389.619626265834</v>
      </c>
      <c r="O28" s="4">
        <f t="shared" ca="1" si="18"/>
        <v>-139576.06481047138</v>
      </c>
      <c r="P28" s="4">
        <f t="shared" ca="1" si="18"/>
        <v>-283954.94572228915</v>
      </c>
      <c r="Q28" s="4">
        <f t="shared" ca="1" si="18"/>
        <v>-437238.80008819274</v>
      </c>
      <c r="R28" s="4">
        <f t="shared" ca="1" si="18"/>
        <v>-654976.86718554166</v>
      </c>
      <c r="S28" s="4">
        <f t="shared" ca="1" si="18"/>
        <v>-886144.54182106012</v>
      </c>
      <c r="T28" s="4">
        <f t="shared" ca="1" si="18"/>
        <v>-1076570.1328019015</v>
      </c>
      <c r="U28" s="4">
        <f t="shared" ca="1" si="18"/>
        <v>-1278740.757557445</v>
      </c>
      <c r="V28" s="4">
        <f t="shared" ca="1" si="18"/>
        <v>-1438380.8240711889</v>
      </c>
      <c r="W28" s="4">
        <f t="shared" ca="1" si="18"/>
        <v>-1607867.1405734033</v>
      </c>
      <c r="X28" s="4">
        <f t="shared" ca="1" si="18"/>
        <v>-1787807.0022184481</v>
      </c>
      <c r="Y28" s="4">
        <f t="shared" ca="1" si="18"/>
        <v>-1978845.1607969597</v>
      </c>
      <c r="Z28" s="4">
        <f t="shared" ca="1" si="18"/>
        <v>-2181666.1349792168</v>
      </c>
      <c r="AA28" s="4">
        <f t="shared" ca="1" si="18"/>
        <v>-2396996.6630492611</v>
      </c>
      <c r="AB28" s="4">
        <f t="shared" ca="1" si="18"/>
        <v>-2625608.3069182928</v>
      </c>
      <c r="AC28" s="4">
        <f t="shared" ca="1" si="18"/>
        <v>-2849227.8939667591</v>
      </c>
      <c r="AD28" s="4">
        <f t="shared" ca="1" si="18"/>
        <v>-3086639.8478344171</v>
      </c>
      <c r="AE28" s="4">
        <f t="shared" ca="1" si="18"/>
        <v>-3338694.8515271074</v>
      </c>
      <c r="AF28" s="4">
        <f t="shared" ca="1" si="18"/>
        <v>-3606296.0563170607</v>
      </c>
      <c r="AG28" s="4">
        <f t="shared" ca="1" si="18"/>
        <v>-3890402.3178707617</v>
      </c>
      <c r="AH28" s="4">
        <f t="shared" ca="1" si="18"/>
        <v>-4192031.6319740978</v>
      </c>
      <c r="AI28" s="4">
        <f t="shared" ca="1" si="18"/>
        <v>-4512264.7821655171</v>
      </c>
      <c r="AJ28" s="4">
        <f t="shared" ca="1" si="18"/>
        <v>-4852249.2123472178</v>
      </c>
      <c r="AK28" s="4">
        <f t="shared" ca="1" si="18"/>
        <v>-5213203.1382505242</v>
      </c>
      <c r="AL28" s="4">
        <f t="shared" ca="1" si="18"/>
        <v>-5596419.9124874463</v>
      </c>
      <c r="AM28" s="4">
        <f t="shared" ca="1" si="18"/>
        <v>-6003272.6588290734</v>
      </c>
      <c r="AN28" s="4">
        <f t="shared" ca="1" si="18"/>
        <v>-6435219.192316113</v>
      </c>
      <c r="AO28" s="4">
        <f t="shared" ca="1" si="18"/>
        <v>-6893807.2428310886</v>
      </c>
      <c r="AP28" s="4">
        <f t="shared" ca="1" si="18"/>
        <v>-7380680.0008490337</v>
      </c>
      <c r="AQ28" s="4">
        <f t="shared" ca="1" si="18"/>
        <v>-7897582.0052379584</v>
      </c>
      <c r="AR28" s="4">
        <f t="shared" ca="1" si="18"/>
        <v>-8446365.3942059651</v>
      </c>
    </row>
    <row r="29" spans="1:44">
      <c r="A29" s="16">
        <f t="shared" si="9"/>
        <v>200</v>
      </c>
      <c r="B29" s="16">
        <f t="shared" si="10"/>
        <v>5500</v>
      </c>
      <c r="C29" s="4">
        <f t="shared" si="3"/>
        <v>55551.003067804784</v>
      </c>
      <c r="D29" s="4">
        <f t="shared" si="3"/>
        <v>61444.379858484899</v>
      </c>
      <c r="E29" s="4">
        <f t="shared" si="3"/>
        <v>67701.247234107141</v>
      </c>
      <c r="F29" s="4">
        <f t="shared" si="3"/>
        <v>67701.247234107141</v>
      </c>
      <c r="G29" s="4">
        <f t="shared" ca="1" si="4"/>
        <v>35208.04269233076</v>
      </c>
      <c r="H29" s="4">
        <f t="shared" ca="1" si="5"/>
        <v>235208.04269233075</v>
      </c>
      <c r="I29" s="4">
        <f t="shared" ca="1" si="6"/>
        <v>235208.04269233075</v>
      </c>
      <c r="J29" s="4">
        <f t="shared" ca="1" si="7"/>
        <v>235208.04269233075</v>
      </c>
      <c r="K29" s="4">
        <f t="shared" ref="K29:AR29" ca="1" si="19">-1*FV(APR_on_Inv/12,12,-1*$B29+IF((K$18-Boat_Bought_Year)&gt;Boat_Term,0,IF(Cash_for_Boat=1,0,-1*Boat_Payment))+K$17/12,J29)-(K$15*College_yr)</f>
        <v>162777.24426642468</v>
      </c>
      <c r="L29" s="4">
        <f t="shared" ca="1" si="19"/>
        <v>85879.072682010199</v>
      </c>
      <c r="M29" s="4">
        <f t="shared" ca="1" si="19"/>
        <v>4237.9901378883515</v>
      </c>
      <c r="N29" s="4">
        <f t="shared" ca="1" si="19"/>
        <v>-82438.535735803773</v>
      </c>
      <c r="O29" s="4">
        <f t="shared" ca="1" si="19"/>
        <v>-174461.08006540174</v>
      </c>
      <c r="P29" s="4">
        <f t="shared" ca="1" si="19"/>
        <v>-327159.37357145303</v>
      </c>
      <c r="Q29" s="4">
        <f t="shared" ca="1" si="19"/>
        <v>-489275.76369640039</v>
      </c>
      <c r="R29" s="4">
        <f t="shared" ca="1" si="19"/>
        <v>-716391.13803162577</v>
      </c>
      <c r="S29" s="4">
        <f t="shared" ca="1" si="19"/>
        <v>-957514.49169663421</v>
      </c>
      <c r="T29" s="4">
        <f t="shared" ca="1" si="19"/>
        <v>-1158509.8062051297</v>
      </c>
      <c r="U29" s="4">
        <f t="shared" ca="1" si="19"/>
        <v>-1371902.0719075256</v>
      </c>
      <c r="V29" s="4">
        <f t="shared" ca="1" si="19"/>
        <v>-1543455.905627253</v>
      </c>
      <c r="W29" s="4">
        <f t="shared" ca="1" si="19"/>
        <v>-1725590.8044277788</v>
      </c>
      <c r="X29" s="4">
        <f t="shared" ca="1" si="19"/>
        <v>-1918959.3852504829</v>
      </c>
      <c r="Y29" s="4">
        <f t="shared" ca="1" si="19"/>
        <v>-2124254.5170216747</v>
      </c>
      <c r="Z29" s="4">
        <f t="shared" ca="1" si="19"/>
        <v>-2342211.803306947</v>
      </c>
      <c r="AA29" s="4">
        <f t="shared" ca="1" si="19"/>
        <v>-2573612.218090219</v>
      </c>
      <c r="AB29" s="4">
        <f t="shared" ca="1" si="19"/>
        <v>-2819284.9041218604</v>
      </c>
      <c r="AC29" s="4">
        <f t="shared" ca="1" si="19"/>
        <v>-3061017.8210816542</v>
      </c>
      <c r="AD29" s="4">
        <f t="shared" ca="1" si="19"/>
        <v>-3317660.2954151505</v>
      </c>
      <c r="AE29" s="4">
        <f t="shared" ca="1" si="19"/>
        <v>-3590131.915997027</v>
      </c>
      <c r="AF29" s="4">
        <f t="shared" ca="1" si="19"/>
        <v>-3879408.9899315671</v>
      </c>
      <c r="AG29" s="4">
        <f t="shared" ca="1" si="19"/>
        <v>-4186528.0408089543</v>
      </c>
      <c r="AH29" s="4">
        <f t="shared" ca="1" si="19"/>
        <v>-4512589.5227263598</v>
      </c>
      <c r="AI29" s="4">
        <f t="shared" ca="1" si="19"/>
        <v>-4858761.763381727</v>
      </c>
      <c r="AJ29" s="4">
        <f t="shared" ca="1" si="19"/>
        <v>-5226285.1503689475</v>
      </c>
      <c r="AK29" s="4">
        <f t="shared" ca="1" si="19"/>
        <v>-5616476.5756745683</v>
      </c>
      <c r="AL29" s="4">
        <f t="shared" ca="1" si="19"/>
        <v>-6030734.1543013295</v>
      </c>
      <c r="AM29" s="4">
        <f t="shared" ca="1" si="19"/>
        <v>-6470542.2339260746</v>
      </c>
      <c r="AN29" s="4">
        <f t="shared" ca="1" si="19"/>
        <v>-6937476.7135424009</v>
      </c>
      <c r="AO29" s="4">
        <f t="shared" ca="1" si="19"/>
        <v>-7433210.6901455494</v>
      </c>
      <c r="AP29" s="4">
        <f t="shared" ca="1" si="19"/>
        <v>-7959520.453692466</v>
      </c>
      <c r="AQ29" s="4">
        <f t="shared" ca="1" si="19"/>
        <v>-8518291.851817878</v>
      </c>
      <c r="AR29" s="4">
        <f t="shared" ca="1" si="19"/>
        <v>-9111527.0471121315</v>
      </c>
    </row>
    <row r="30" spans="1:44">
      <c r="A30" s="16">
        <f t="shared" si="9"/>
        <v>200</v>
      </c>
      <c r="B30" s="16">
        <f t="shared" si="10"/>
        <v>6000</v>
      </c>
      <c r="C30" s="4">
        <f t="shared" si="3"/>
        <v>55551.003067804784</v>
      </c>
      <c r="D30" s="4">
        <f t="shared" si="3"/>
        <v>61444.379858484899</v>
      </c>
      <c r="E30" s="4">
        <f t="shared" si="3"/>
        <v>67701.247234107141</v>
      </c>
      <c r="F30" s="4">
        <f t="shared" si="3"/>
        <v>67701.247234107141</v>
      </c>
      <c r="G30" s="4">
        <f t="shared" ca="1" si="4"/>
        <v>35208.04269233076</v>
      </c>
      <c r="H30" s="4">
        <f t="shared" ca="1" si="5"/>
        <v>235208.04269233075</v>
      </c>
      <c r="I30" s="4">
        <f t="shared" ca="1" si="6"/>
        <v>235208.04269233075</v>
      </c>
      <c r="J30" s="4">
        <f t="shared" ca="1" si="7"/>
        <v>235208.04269233075</v>
      </c>
      <c r="K30" s="4">
        <f t="shared" ref="K30:AR30" ca="1" si="20">-1*FV(APR_on_Inv/12,12,-1*$B30+IF((K$18-Boat_Bought_Year)&gt;Boat_Term,0,IF(Cash_for_Boat=1,0,-1*Boat_Payment))+K$17/12,J30)-(K$15*College_yr)</f>
        <v>156609.4630799749</v>
      </c>
      <c r="L30" s="4">
        <f t="shared" ca="1" si="20"/>
        <v>73163.095061471424</v>
      </c>
      <c r="M30" s="4">
        <f t="shared" ca="1" si="20"/>
        <v>-15430.062344452948</v>
      </c>
      <c r="N30" s="4">
        <f t="shared" ca="1" si="20"/>
        <v>-109487.45184534174</v>
      </c>
      <c r="O30" s="4">
        <f t="shared" ca="1" si="20"/>
        <v>-209346.09532033213</v>
      </c>
      <c r="P30" s="4">
        <f t="shared" ca="1" si="20"/>
        <v>-370363.80142061692</v>
      </c>
      <c r="Q30" s="4">
        <f t="shared" ca="1" si="20"/>
        <v>-541312.72730460798</v>
      </c>
      <c r="R30" s="4">
        <f t="shared" ca="1" si="20"/>
        <v>-777805.40887770976</v>
      </c>
      <c r="S30" s="4">
        <f t="shared" ca="1" si="20"/>
        <v>-1028884.441572208</v>
      </c>
      <c r="T30" s="4">
        <f t="shared" ca="1" si="20"/>
        <v>-1240449.4796083574</v>
      </c>
      <c r="U30" s="4">
        <f t="shared" ca="1" si="20"/>
        <v>-1465063.3862576059</v>
      </c>
      <c r="V30" s="4">
        <f t="shared" ca="1" si="20"/>
        <v>-1648530.9871833166</v>
      </c>
      <c r="W30" s="4">
        <f t="shared" ca="1" si="20"/>
        <v>-1843314.4682821541</v>
      </c>
      <c r="X30" s="4">
        <f t="shared" ca="1" si="20"/>
        <v>-2050111.7682825176</v>
      </c>
      <c r="Y30" s="4">
        <f t="shared" ca="1" si="20"/>
        <v>-2269663.8732463894</v>
      </c>
      <c r="Z30" s="4">
        <f t="shared" ca="1" si="20"/>
        <v>-2502757.4716346776</v>
      </c>
      <c r="AA30" s="4">
        <f t="shared" ca="1" si="20"/>
        <v>-2750227.7731311773</v>
      </c>
      <c r="AB30" s="4">
        <f t="shared" ca="1" si="20"/>
        <v>-3012961.5013254285</v>
      </c>
      <c r="AC30" s="4">
        <f t="shared" ca="1" si="20"/>
        <v>-3272807.7481965497</v>
      </c>
      <c r="AD30" s="4">
        <f t="shared" ca="1" si="20"/>
        <v>-3548680.7429958838</v>
      </c>
      <c r="AE30" s="4">
        <f t="shared" ca="1" si="20"/>
        <v>-3841568.980466947</v>
      </c>
      <c r="AF30" s="4">
        <f t="shared" ca="1" si="20"/>
        <v>-4152521.9235460744</v>
      </c>
      <c r="AG30" s="4">
        <f t="shared" ca="1" si="20"/>
        <v>-4482653.7637471473</v>
      </c>
      <c r="AH30" s="4">
        <f t="shared" ca="1" si="20"/>
        <v>-4833147.4134786231</v>
      </c>
      <c r="AI30" s="4">
        <f t="shared" ca="1" si="20"/>
        <v>-5205258.7445979379</v>
      </c>
      <c r="AJ30" s="4">
        <f t="shared" ca="1" si="20"/>
        <v>-5600321.0883906772</v>
      </c>
      <c r="AK30" s="4">
        <f t="shared" ca="1" si="20"/>
        <v>-6019750.0130986124</v>
      </c>
      <c r="AL30" s="4">
        <f t="shared" ca="1" si="20"/>
        <v>-6465048.3961152127</v>
      </c>
      <c r="AM30" s="4">
        <f t="shared" ca="1" si="20"/>
        <v>-6937811.8090230757</v>
      </c>
      <c r="AN30" s="4">
        <f t="shared" ca="1" si="20"/>
        <v>-7439734.2347686877</v>
      </c>
      <c r="AO30" s="4">
        <f t="shared" ca="1" si="20"/>
        <v>-7972614.1374600101</v>
      </c>
      <c r="AP30" s="4">
        <f t="shared" ca="1" si="20"/>
        <v>-8538360.9065359011</v>
      </c>
      <c r="AQ30" s="4">
        <f t="shared" ca="1" si="20"/>
        <v>-9139001.6983978022</v>
      </c>
      <c r="AR30" s="4">
        <f t="shared" ca="1" si="20"/>
        <v>-9776688.7000183035</v>
      </c>
    </row>
    <row r="31" spans="1:44">
      <c r="A31" s="16">
        <f t="shared" si="9"/>
        <v>200</v>
      </c>
      <c r="B31" s="16">
        <f t="shared" si="10"/>
        <v>6500</v>
      </c>
      <c r="C31" s="4">
        <f t="shared" si="3"/>
        <v>55551.003067804784</v>
      </c>
      <c r="D31" s="4">
        <f t="shared" si="3"/>
        <v>61444.379858484899</v>
      </c>
      <c r="E31" s="4">
        <f t="shared" si="3"/>
        <v>67701.247234107141</v>
      </c>
      <c r="F31" s="4">
        <f t="shared" si="3"/>
        <v>67701.247234107141</v>
      </c>
      <c r="G31" s="4">
        <f t="shared" ca="1" si="4"/>
        <v>35208.04269233076</v>
      </c>
      <c r="H31" s="4">
        <f t="shared" ca="1" si="5"/>
        <v>235208.04269233075</v>
      </c>
      <c r="I31" s="4">
        <f t="shared" ca="1" si="6"/>
        <v>235208.04269233075</v>
      </c>
      <c r="J31" s="4">
        <f t="shared" ca="1" si="7"/>
        <v>235208.04269233075</v>
      </c>
      <c r="K31" s="4">
        <f t="shared" ref="K31:AR31" ca="1" si="21">-1*FV(APR_on_Inv/12,12,-1*$B31+IF((K$18-Boat_Bought_Year)&gt;Boat_Term,0,IF(Cash_for_Boat=1,0,-1*Boat_Payment))+K$17/12,J31)-(K$15*College_yr)</f>
        <v>150441.68189352515</v>
      </c>
      <c r="L31" s="4">
        <f t="shared" ca="1" si="21"/>
        <v>60447.117440932692</v>
      </c>
      <c r="M31" s="4">
        <f t="shared" ca="1" si="21"/>
        <v>-35098.114826794175</v>
      </c>
      <c r="N31" s="4">
        <f t="shared" ca="1" si="21"/>
        <v>-136536.36795487962</v>
      </c>
      <c r="O31" s="4">
        <f t="shared" ca="1" si="21"/>
        <v>-244231.1105752624</v>
      </c>
      <c r="P31" s="4">
        <f t="shared" ca="1" si="21"/>
        <v>-413568.22926978068</v>
      </c>
      <c r="Q31" s="4">
        <f t="shared" ca="1" si="21"/>
        <v>-593349.69091281551</v>
      </c>
      <c r="R31" s="4">
        <f t="shared" ca="1" si="21"/>
        <v>-839219.67972379387</v>
      </c>
      <c r="S31" s="4">
        <f t="shared" ca="1" si="21"/>
        <v>-1100254.3914477821</v>
      </c>
      <c r="T31" s="4">
        <f t="shared" ca="1" si="21"/>
        <v>-1322389.1530115856</v>
      </c>
      <c r="U31" s="4">
        <f t="shared" ca="1" si="21"/>
        <v>-1558224.7006076863</v>
      </c>
      <c r="V31" s="4">
        <f t="shared" ca="1" si="21"/>
        <v>-1753606.0687393802</v>
      </c>
      <c r="W31" s="4">
        <f t="shared" ca="1" si="21"/>
        <v>-1961038.1321365288</v>
      </c>
      <c r="X31" s="4">
        <f t="shared" ca="1" si="21"/>
        <v>-2181264.1513145515</v>
      </c>
      <c r="Y31" s="4">
        <f t="shared" ca="1" si="21"/>
        <v>-2415073.2294711033</v>
      </c>
      <c r="Z31" s="4">
        <f t="shared" ca="1" si="21"/>
        <v>-2663303.1399624068</v>
      </c>
      <c r="AA31" s="4">
        <f t="shared" ca="1" si="21"/>
        <v>-2926843.3281721338</v>
      </c>
      <c r="AB31" s="4">
        <f t="shared" ca="1" si="21"/>
        <v>-3206638.0985289947</v>
      </c>
      <c r="AC31" s="4">
        <f t="shared" ca="1" si="21"/>
        <v>-3484597.6753114434</v>
      </c>
      <c r="AD31" s="4">
        <f t="shared" ca="1" si="21"/>
        <v>-3779701.1905766153</v>
      </c>
      <c r="AE31" s="4">
        <f t="shared" ca="1" si="21"/>
        <v>-4093006.0449368646</v>
      </c>
      <c r="AF31" s="4">
        <f t="shared" ca="1" si="21"/>
        <v>-4425634.8571605794</v>
      </c>
      <c r="AG31" s="4">
        <f t="shared" ca="1" si="21"/>
        <v>-4778779.4866853394</v>
      </c>
      <c r="AH31" s="4">
        <f t="shared" ca="1" si="21"/>
        <v>-5153705.3042308856</v>
      </c>
      <c r="AI31" s="4">
        <f t="shared" ca="1" si="21"/>
        <v>-5551755.7258141488</v>
      </c>
      <c r="AJ31" s="4">
        <f t="shared" ca="1" si="21"/>
        <v>-5974357.0264124079</v>
      </c>
      <c r="AK31" s="4">
        <f t="shared" ca="1" si="21"/>
        <v>-6423023.4505226584</v>
      </c>
      <c r="AL31" s="4">
        <f t="shared" ca="1" si="21"/>
        <v>-6899362.6379290987</v>
      </c>
      <c r="AM31" s="4">
        <f t="shared" ca="1" si="21"/>
        <v>-7405081.3841200806</v>
      </c>
      <c r="AN31" s="4">
        <f t="shared" ca="1" si="21"/>
        <v>-7941991.7559949793</v>
      </c>
      <c r="AO31" s="4">
        <f t="shared" ca="1" si="21"/>
        <v>-8512017.5847744755</v>
      </c>
      <c r="AP31" s="4">
        <f t="shared" ca="1" si="21"/>
        <v>-9117201.3593793362</v>
      </c>
      <c r="AQ31" s="4">
        <f t="shared" ca="1" si="21"/>
        <v>-9759711.5449777227</v>
      </c>
      <c r="AR31" s="4">
        <f t="shared" ca="1" si="21"/>
        <v>-10441850.35292447</v>
      </c>
    </row>
    <row r="32" spans="1:44">
      <c r="A32" s="16">
        <f t="shared" si="9"/>
        <v>200</v>
      </c>
      <c r="B32" s="16">
        <f t="shared" si="10"/>
        <v>7000</v>
      </c>
      <c r="C32" s="4">
        <f t="shared" si="3"/>
        <v>55551.003067804784</v>
      </c>
      <c r="D32" s="4">
        <f t="shared" si="3"/>
        <v>61444.379858484899</v>
      </c>
      <c r="E32" s="4">
        <f t="shared" si="3"/>
        <v>67701.247234107141</v>
      </c>
      <c r="F32" s="4">
        <f t="shared" si="3"/>
        <v>67701.247234107141</v>
      </c>
      <c r="G32" s="4">
        <f t="shared" ca="1" si="4"/>
        <v>35208.04269233076</v>
      </c>
      <c r="H32" s="4">
        <f t="shared" ca="1" si="5"/>
        <v>235208.04269233075</v>
      </c>
      <c r="I32" s="4">
        <f t="shared" ca="1" si="6"/>
        <v>235208.04269233075</v>
      </c>
      <c r="J32" s="4">
        <f t="shared" ca="1" si="7"/>
        <v>235208.04269233075</v>
      </c>
      <c r="K32" s="4">
        <f t="shared" ref="K32:AR32" ca="1" si="22">-1*FV(APR_on_Inv/12,12,-1*$B32+IF((K$18-Boat_Bought_Year)&gt;Boat_Term,0,IF(Cash_for_Boat=1,0,-1*Boat_Payment))+K$17/12,J32)-(K$15*College_yr)</f>
        <v>144273.90070707537</v>
      </c>
      <c r="L32" s="4">
        <f t="shared" ca="1" si="22"/>
        <v>47731.139820393917</v>
      </c>
      <c r="M32" s="4">
        <f t="shared" ca="1" si="22"/>
        <v>-54766.167309135468</v>
      </c>
      <c r="N32" s="4">
        <f t="shared" ca="1" si="22"/>
        <v>-163585.28406441759</v>
      </c>
      <c r="O32" s="4">
        <f t="shared" ca="1" si="22"/>
        <v>-279116.12583019282</v>
      </c>
      <c r="P32" s="4">
        <f t="shared" ca="1" si="22"/>
        <v>-456772.65711894457</v>
      </c>
      <c r="Q32" s="4">
        <f t="shared" ca="1" si="22"/>
        <v>-645386.65452102316</v>
      </c>
      <c r="R32" s="4">
        <f t="shared" ca="1" si="22"/>
        <v>-900633.95056987798</v>
      </c>
      <c r="S32" s="4">
        <f t="shared" ca="1" si="22"/>
        <v>-1171624.3413233559</v>
      </c>
      <c r="T32" s="4">
        <f t="shared" ca="1" si="22"/>
        <v>-1404328.8264148135</v>
      </c>
      <c r="U32" s="4">
        <f t="shared" ca="1" si="22"/>
        <v>-1651386.0149577667</v>
      </c>
      <c r="V32" s="4">
        <f t="shared" ca="1" si="22"/>
        <v>-1858681.1502954438</v>
      </c>
      <c r="W32" s="4">
        <f t="shared" ca="1" si="22"/>
        <v>-2078761.7959909039</v>
      </c>
      <c r="X32" s="4">
        <f t="shared" ca="1" si="22"/>
        <v>-2312416.5343465856</v>
      </c>
      <c r="Y32" s="4">
        <f t="shared" ca="1" si="22"/>
        <v>-2560482.5856958176</v>
      </c>
      <c r="Z32" s="4">
        <f t="shared" ca="1" si="22"/>
        <v>-2823848.8082901365</v>
      </c>
      <c r="AA32" s="4">
        <f t="shared" ca="1" si="22"/>
        <v>-3103458.8832130912</v>
      </c>
      <c r="AB32" s="4">
        <f t="shared" ca="1" si="22"/>
        <v>-3400314.6957325619</v>
      </c>
      <c r="AC32" s="4">
        <f t="shared" ca="1" si="22"/>
        <v>-3696387.602426338</v>
      </c>
      <c r="AD32" s="4">
        <f t="shared" ca="1" si="22"/>
        <v>-4010721.6381573477</v>
      </c>
      <c r="AE32" s="4">
        <f t="shared" ca="1" si="22"/>
        <v>-4344443.1094067823</v>
      </c>
      <c r="AF32" s="4">
        <f t="shared" ca="1" si="22"/>
        <v>-4698747.790775083</v>
      </c>
      <c r="AG32" s="4">
        <f t="shared" ca="1" si="22"/>
        <v>-5074905.2096235286</v>
      </c>
      <c r="AH32" s="4">
        <f t="shared" ca="1" si="22"/>
        <v>-5474263.1949831443</v>
      </c>
      <c r="AI32" s="4">
        <f t="shared" ca="1" si="22"/>
        <v>-5898252.707030355</v>
      </c>
      <c r="AJ32" s="4">
        <f t="shared" ca="1" si="22"/>
        <v>-6348392.9644341329</v>
      </c>
      <c r="AK32" s="4">
        <f t="shared" ca="1" si="22"/>
        <v>-6826296.8879466979</v>
      </c>
      <c r="AL32" s="4">
        <f t="shared" ca="1" si="22"/>
        <v>-7333676.8797429763</v>
      </c>
      <c r="AM32" s="4">
        <f t="shared" ca="1" si="22"/>
        <v>-7872350.9592170762</v>
      </c>
      <c r="AN32" s="4">
        <f t="shared" ca="1" si="22"/>
        <v>-8444249.2772212606</v>
      </c>
      <c r="AO32" s="4">
        <f t="shared" ca="1" si="22"/>
        <v>-9051421.0320889298</v>
      </c>
      <c r="AP32" s="4">
        <f t="shared" ca="1" si="22"/>
        <v>-9696041.8122227639</v>
      </c>
      <c r="AQ32" s="4">
        <f t="shared" ca="1" si="22"/>
        <v>-10380421.391557638</v>
      </c>
      <c r="AR32" s="4">
        <f t="shared" ca="1" si="22"/>
        <v>-11107012.005830633</v>
      </c>
    </row>
    <row r="33" spans="1:44">
      <c r="A33" s="16">
        <f t="shared" si="9"/>
        <v>200</v>
      </c>
      <c r="B33" s="16">
        <f t="shared" si="10"/>
        <v>7500</v>
      </c>
      <c r="C33" s="4">
        <f t="shared" si="3"/>
        <v>55551.003067804784</v>
      </c>
      <c r="D33" s="4">
        <f t="shared" si="3"/>
        <v>61444.379858484899</v>
      </c>
      <c r="E33" s="4">
        <f t="shared" si="3"/>
        <v>67701.247234107141</v>
      </c>
      <c r="F33" s="4">
        <f t="shared" si="3"/>
        <v>67701.247234107141</v>
      </c>
      <c r="G33" s="4">
        <f t="shared" ca="1" si="4"/>
        <v>35208.04269233076</v>
      </c>
      <c r="H33" s="4">
        <f t="shared" ca="1" si="5"/>
        <v>235208.04269233075</v>
      </c>
      <c r="I33" s="4">
        <f t="shared" ca="1" si="6"/>
        <v>235208.04269233075</v>
      </c>
      <c r="J33" s="4">
        <f t="shared" ca="1" si="7"/>
        <v>235208.04269233075</v>
      </c>
      <c r="K33" s="4">
        <f t="shared" ref="K33:AR33" ca="1" si="23">-1*FV(APR_on_Inv/12,12,-1*$B33+IF((K$18-Boat_Bought_Year)&gt;Boat_Term,0,IF(Cash_for_Boat=1,0,-1*Boat_Payment))+K$17/12,J33)-(K$15*College_yr)</f>
        <v>138106.11952062562</v>
      </c>
      <c r="L33" s="4">
        <f t="shared" ca="1" si="23"/>
        <v>35015.162199855171</v>
      </c>
      <c r="M33" s="4">
        <f t="shared" ca="1" si="23"/>
        <v>-74434.219791476731</v>
      </c>
      <c r="N33" s="4">
        <f t="shared" ca="1" si="23"/>
        <v>-190634.20017395553</v>
      </c>
      <c r="O33" s="4">
        <f t="shared" ca="1" si="23"/>
        <v>-314001.14108512318</v>
      </c>
      <c r="P33" s="4">
        <f t="shared" ca="1" si="23"/>
        <v>-499977.08496810839</v>
      </c>
      <c r="Q33" s="4">
        <f t="shared" ca="1" si="23"/>
        <v>-697423.6181292308</v>
      </c>
      <c r="R33" s="4">
        <f t="shared" ca="1" si="23"/>
        <v>-962048.22141596221</v>
      </c>
      <c r="S33" s="4">
        <f t="shared" ca="1" si="23"/>
        <v>-1242994.2911989298</v>
      </c>
      <c r="T33" s="4">
        <f t="shared" ca="1" si="23"/>
        <v>-1486268.4998180415</v>
      </c>
      <c r="U33" s="4">
        <f t="shared" ca="1" si="23"/>
        <v>-1744547.3293078472</v>
      </c>
      <c r="V33" s="4">
        <f t="shared" ca="1" si="23"/>
        <v>-1963756.2318515077</v>
      </c>
      <c r="W33" s="4">
        <f t="shared" ca="1" si="23"/>
        <v>-2196485.4598452793</v>
      </c>
      <c r="X33" s="4">
        <f t="shared" ca="1" si="23"/>
        <v>-2443568.9173786202</v>
      </c>
      <c r="Y33" s="4">
        <f t="shared" ca="1" si="23"/>
        <v>-2705891.9419205319</v>
      </c>
      <c r="Z33" s="4">
        <f t="shared" ca="1" si="23"/>
        <v>-2984394.4766178662</v>
      </c>
      <c r="AA33" s="4">
        <f t="shared" ca="1" si="23"/>
        <v>-3280074.4382540481</v>
      </c>
      <c r="AB33" s="4">
        <f t="shared" ca="1" si="23"/>
        <v>-3593991.2929361286</v>
      </c>
      <c r="AC33" s="4">
        <f t="shared" ca="1" si="23"/>
        <v>-3908177.5295412322</v>
      </c>
      <c r="AD33" s="4">
        <f t="shared" ca="1" si="23"/>
        <v>-4241742.0857380796</v>
      </c>
      <c r="AE33" s="4">
        <f t="shared" ca="1" si="23"/>
        <v>-4595880.1738767009</v>
      </c>
      <c r="AF33" s="4">
        <f t="shared" ca="1" si="23"/>
        <v>-4971860.7243895894</v>
      </c>
      <c r="AG33" s="4">
        <f t="shared" ca="1" si="23"/>
        <v>-5371030.9325617217</v>
      </c>
      <c r="AH33" s="4">
        <f t="shared" ca="1" si="23"/>
        <v>-5794821.0857354077</v>
      </c>
      <c r="AI33" s="4">
        <f t="shared" ca="1" si="23"/>
        <v>-6244749.6882465668</v>
      </c>
      <c r="AJ33" s="4">
        <f t="shared" ca="1" si="23"/>
        <v>-6722428.9024558654</v>
      </c>
      <c r="AK33" s="4">
        <f t="shared" ca="1" si="23"/>
        <v>-7229570.3253707457</v>
      </c>
      <c r="AL33" s="4">
        <f t="shared" ca="1" si="23"/>
        <v>-7767991.1215568641</v>
      </c>
      <c r="AM33" s="4">
        <f t="shared" ca="1" si="23"/>
        <v>-8339620.5343140829</v>
      </c>
      <c r="AN33" s="4">
        <f t="shared" ca="1" si="23"/>
        <v>-8946506.7984475549</v>
      </c>
      <c r="AO33" s="4">
        <f t="shared" ca="1" si="23"/>
        <v>-9590824.4794033989</v>
      </c>
      <c r="AP33" s="4">
        <f t="shared" ca="1" si="23"/>
        <v>-10274882.265066206</v>
      </c>
      <c r="AQ33" s="4">
        <f t="shared" ca="1" si="23"/>
        <v>-11001131.238137569</v>
      </c>
      <c r="AR33" s="4">
        <f t="shared" ca="1" si="23"/>
        <v>-11772173.658736812</v>
      </c>
    </row>
    <row r="34" spans="1:44">
      <c r="A34" s="16">
        <f t="shared" si="9"/>
        <v>200</v>
      </c>
      <c r="B34" s="16">
        <f t="shared" si="10"/>
        <v>8000</v>
      </c>
      <c r="C34" s="4">
        <f t="shared" si="3"/>
        <v>55551.003067804784</v>
      </c>
      <c r="D34" s="4">
        <f t="shared" si="3"/>
        <v>61444.379858484899</v>
      </c>
      <c r="E34" s="4">
        <f t="shared" si="3"/>
        <v>67701.247234107141</v>
      </c>
      <c r="F34" s="4">
        <f t="shared" si="3"/>
        <v>67701.247234107141</v>
      </c>
      <c r="G34" s="4">
        <f t="shared" ca="1" si="4"/>
        <v>35208.04269233076</v>
      </c>
      <c r="H34" s="4">
        <f t="shared" ca="1" si="5"/>
        <v>235208.04269233075</v>
      </c>
      <c r="I34" s="4">
        <f t="shared" ca="1" si="6"/>
        <v>235208.04269233075</v>
      </c>
      <c r="J34" s="4">
        <f t="shared" ca="1" si="7"/>
        <v>235208.04269233075</v>
      </c>
      <c r="K34" s="4">
        <f t="shared" ref="K34:AR34" ca="1" si="24">-1*FV(APR_on_Inv/12,12,-1*$B34+IF((K$18-Boat_Bought_Year)&gt;Boat_Term,0,IF(Cash_for_Boat=1,0,-1*Boat_Payment))+K$17/12,J34)-(K$15*College_yr)</f>
        <v>131938.33833417587</v>
      </c>
      <c r="L34" s="4">
        <f t="shared" ca="1" si="24"/>
        <v>22299.184579316425</v>
      </c>
      <c r="M34" s="4">
        <f t="shared" ca="1" si="24"/>
        <v>-94102.272273817987</v>
      </c>
      <c r="N34" s="4">
        <f t="shared" ca="1" si="24"/>
        <v>-217683.11628349347</v>
      </c>
      <c r="O34" s="4">
        <f t="shared" ca="1" si="24"/>
        <v>-348886.15634005354</v>
      </c>
      <c r="P34" s="4">
        <f t="shared" ca="1" si="24"/>
        <v>-543181.51281727222</v>
      </c>
      <c r="Q34" s="4">
        <f t="shared" ca="1" si="24"/>
        <v>-749460.58173743833</v>
      </c>
      <c r="R34" s="4">
        <f t="shared" ca="1" si="24"/>
        <v>-1023462.4922620462</v>
      </c>
      <c r="S34" s="4">
        <f t="shared" ca="1" si="24"/>
        <v>-1314364.2410745039</v>
      </c>
      <c r="T34" s="4">
        <f t="shared" ca="1" si="24"/>
        <v>-1568208.1732212696</v>
      </c>
      <c r="U34" s="4">
        <f t="shared" ca="1" si="24"/>
        <v>-1837708.6436579279</v>
      </c>
      <c r="V34" s="4">
        <f t="shared" ca="1" si="24"/>
        <v>-2068831.3134075718</v>
      </c>
      <c r="W34" s="4">
        <f t="shared" ca="1" si="24"/>
        <v>-2314209.1236996544</v>
      </c>
      <c r="X34" s="4">
        <f t="shared" ca="1" si="24"/>
        <v>-2574721.3004106544</v>
      </c>
      <c r="Y34" s="4">
        <f t="shared" ca="1" si="24"/>
        <v>-2851301.2981452462</v>
      </c>
      <c r="Z34" s="4">
        <f t="shared" ca="1" si="24"/>
        <v>-3144940.1449455954</v>
      </c>
      <c r="AA34" s="4">
        <f t="shared" ca="1" si="24"/>
        <v>-3456689.9932950046</v>
      </c>
      <c r="AB34" s="4">
        <f t="shared" ca="1" si="24"/>
        <v>-3787667.8901396943</v>
      </c>
      <c r="AC34" s="4">
        <f t="shared" ca="1" si="24"/>
        <v>-4119967.4566561249</v>
      </c>
      <c r="AD34" s="4">
        <f t="shared" ca="1" si="24"/>
        <v>-4472762.5333188102</v>
      </c>
      <c r="AE34" s="4">
        <f t="shared" ca="1" si="24"/>
        <v>-4847317.2383466177</v>
      </c>
      <c r="AF34" s="4">
        <f t="shared" ca="1" si="24"/>
        <v>-5244973.6580040921</v>
      </c>
      <c r="AG34" s="4">
        <f t="shared" ca="1" si="24"/>
        <v>-5667156.65549991</v>
      </c>
      <c r="AH34" s="4">
        <f t="shared" ca="1" si="24"/>
        <v>-6115378.9764876645</v>
      </c>
      <c r="AI34" s="4">
        <f t="shared" ca="1" si="24"/>
        <v>-6591246.6694627702</v>
      </c>
      <c r="AJ34" s="4">
        <f t="shared" ca="1" si="24"/>
        <v>-7096464.8404775877</v>
      </c>
      <c r="AK34" s="4">
        <f t="shared" ca="1" si="24"/>
        <v>-7632843.7627947824</v>
      </c>
      <c r="AL34" s="4">
        <f t="shared" ca="1" si="24"/>
        <v>-8202305.3633707389</v>
      </c>
      <c r="AM34" s="4">
        <f t="shared" ca="1" si="24"/>
        <v>-8806890.1094110757</v>
      </c>
      <c r="AN34" s="4">
        <f t="shared" ca="1" si="24"/>
        <v>-9448764.3196738344</v>
      </c>
      <c r="AO34" s="4">
        <f t="shared" ca="1" si="24"/>
        <v>-10130227.926717851</v>
      </c>
      <c r="AP34" s="4">
        <f t="shared" ca="1" si="24"/>
        <v>-10853722.717909632</v>
      </c>
      <c r="AQ34" s="4">
        <f t="shared" ca="1" si="24"/>
        <v>-11621841.084717482</v>
      </c>
      <c r="AR34" s="4">
        <f t="shared" ca="1" si="24"/>
        <v>-12437335.311642973</v>
      </c>
    </row>
    <row r="35" spans="1:44">
      <c r="A35" s="16">
        <f t="shared" si="9"/>
        <v>200</v>
      </c>
      <c r="B35" s="16">
        <f t="shared" si="10"/>
        <v>8500</v>
      </c>
      <c r="C35" s="4">
        <f t="shared" si="3"/>
        <v>55551.003067804784</v>
      </c>
      <c r="D35" s="4">
        <f t="shared" si="3"/>
        <v>61444.379858484899</v>
      </c>
      <c r="E35" s="4">
        <f t="shared" si="3"/>
        <v>67701.247234107141</v>
      </c>
      <c r="F35" s="4">
        <f t="shared" si="3"/>
        <v>67701.247234107141</v>
      </c>
      <c r="G35" s="4">
        <f t="shared" ca="1" si="4"/>
        <v>35208.04269233076</v>
      </c>
      <c r="H35" s="4">
        <f t="shared" ca="1" si="5"/>
        <v>235208.04269233075</v>
      </c>
      <c r="I35" s="4">
        <f t="shared" ca="1" si="6"/>
        <v>235208.04269233075</v>
      </c>
      <c r="J35" s="4">
        <f t="shared" ca="1" si="7"/>
        <v>235208.04269233075</v>
      </c>
      <c r="K35" s="4">
        <f t="shared" ref="K35:AR35" ca="1" si="25">-1*FV(APR_on_Inv/12,12,-1*$B35+IF((K$18-Boat_Bought_Year)&gt;Boat_Term,0,IF(Cash_for_Boat=1,0,-1*Boat_Payment))+K$17/12,J35)-(K$15*College_yr)</f>
        <v>125770.5571477261</v>
      </c>
      <c r="L35" s="4">
        <f t="shared" ca="1" si="25"/>
        <v>9583.2069587776205</v>
      </c>
      <c r="M35" s="4">
        <f t="shared" ca="1" si="25"/>
        <v>-113770.3247561593</v>
      </c>
      <c r="N35" s="4">
        <f t="shared" ca="1" si="25"/>
        <v>-244732.03239303146</v>
      </c>
      <c r="O35" s="4">
        <f t="shared" ca="1" si="25"/>
        <v>-383771.17159498396</v>
      </c>
      <c r="P35" s="4">
        <f t="shared" ca="1" si="25"/>
        <v>-586385.94066643622</v>
      </c>
      <c r="Q35" s="4">
        <f t="shared" ca="1" si="25"/>
        <v>-801497.5453456461</v>
      </c>
      <c r="R35" s="4">
        <f t="shared" ca="1" si="25"/>
        <v>-1084876.7631081305</v>
      </c>
      <c r="S35" s="4">
        <f t="shared" ca="1" si="25"/>
        <v>-1385734.190950078</v>
      </c>
      <c r="T35" s="4">
        <f t="shared" ca="1" si="25"/>
        <v>-1650147.8466244978</v>
      </c>
      <c r="U35" s="4">
        <f t="shared" ca="1" si="25"/>
        <v>-1930869.9580080085</v>
      </c>
      <c r="V35" s="4">
        <f t="shared" ca="1" si="25"/>
        <v>-2173906.3949636356</v>
      </c>
      <c r="W35" s="4">
        <f t="shared" ca="1" si="25"/>
        <v>-2431932.7875540298</v>
      </c>
      <c r="X35" s="4">
        <f t="shared" ca="1" si="25"/>
        <v>-2705873.6834426895</v>
      </c>
      <c r="Y35" s="4">
        <f t="shared" ca="1" si="25"/>
        <v>-2996710.6543699615</v>
      </c>
      <c r="Z35" s="4">
        <f t="shared" ca="1" si="25"/>
        <v>-3305485.8132733265</v>
      </c>
      <c r="AA35" s="4">
        <f t="shared" ca="1" si="25"/>
        <v>-3633305.5483359634</v>
      </c>
      <c r="AB35" s="4">
        <f t="shared" ca="1" si="25"/>
        <v>-3981344.4873432629</v>
      </c>
      <c r="AC35" s="4">
        <f t="shared" ca="1" si="25"/>
        <v>-4331757.3837710219</v>
      </c>
      <c r="AD35" s="4">
        <f t="shared" ca="1" si="25"/>
        <v>-4703782.9808995454</v>
      </c>
      <c r="AE35" s="4">
        <f t="shared" ca="1" si="25"/>
        <v>-5098754.30281654</v>
      </c>
      <c r="AF35" s="4">
        <f t="shared" ca="1" si="25"/>
        <v>-5518086.5916186022</v>
      </c>
      <c r="AG35" s="4">
        <f t="shared" ca="1" si="25"/>
        <v>-5963282.3784381077</v>
      </c>
      <c r="AH35" s="4">
        <f t="shared" ca="1" si="25"/>
        <v>-6435936.8672399335</v>
      </c>
      <c r="AI35" s="4">
        <f t="shared" ca="1" si="25"/>
        <v>-6937743.6506789885</v>
      </c>
      <c r="AJ35" s="4">
        <f t="shared" ca="1" si="25"/>
        <v>-7470500.7784993267</v>
      </c>
      <c r="AK35" s="4">
        <f t="shared" ca="1" si="25"/>
        <v>-8036117.2002188377</v>
      </c>
      <c r="AL35" s="4">
        <f t="shared" ca="1" si="25"/>
        <v>-8636619.6051846333</v>
      </c>
      <c r="AM35" s="4">
        <f t="shared" ca="1" si="25"/>
        <v>-9274159.684508089</v>
      </c>
      <c r="AN35" s="4">
        <f t="shared" ca="1" si="25"/>
        <v>-9951021.8409001324</v>
      </c>
      <c r="AO35" s="4">
        <f t="shared" ca="1" si="25"/>
        <v>-10669631.374032322</v>
      </c>
      <c r="AP35" s="4">
        <f t="shared" ca="1" si="25"/>
        <v>-11432563.170753075</v>
      </c>
      <c r="AQ35" s="4">
        <f t="shared" ca="1" si="25"/>
        <v>-12242550.931297412</v>
      </c>
      <c r="AR35" s="4">
        <f t="shared" ca="1" si="25"/>
        <v>-13102496.964549148</v>
      </c>
    </row>
    <row r="36" spans="1:44">
      <c r="A36" s="16">
        <f t="shared" si="9"/>
        <v>200</v>
      </c>
      <c r="B36" s="16">
        <f t="shared" si="10"/>
        <v>9000</v>
      </c>
      <c r="C36" s="4">
        <f t="shared" si="3"/>
        <v>55551.003067804784</v>
      </c>
      <c r="D36" s="4">
        <f t="shared" si="3"/>
        <v>61444.379858484899</v>
      </c>
      <c r="E36" s="4">
        <f t="shared" si="3"/>
        <v>67701.247234107141</v>
      </c>
      <c r="F36" s="4">
        <f t="shared" si="3"/>
        <v>67701.247234107141</v>
      </c>
      <c r="G36" s="4">
        <f t="shared" ca="1" si="4"/>
        <v>35208.04269233076</v>
      </c>
      <c r="H36" s="4">
        <f t="shared" ca="1" si="5"/>
        <v>235208.04269233075</v>
      </c>
      <c r="I36" s="4">
        <f t="shared" ca="1" si="6"/>
        <v>235208.04269233075</v>
      </c>
      <c r="J36" s="4">
        <f t="shared" ca="1" si="7"/>
        <v>235208.04269233075</v>
      </c>
      <c r="K36" s="4">
        <f t="shared" ref="K36:AR36" ca="1" si="26">-1*FV(APR_on_Inv/12,12,-1*$B36+IF((K$18-Boat_Bought_Year)&gt;Boat_Term,0,IF(Cash_for_Boat=1,0,-1*Boat_Payment))+K$17/12,J36)-(K$15*College_yr)</f>
        <v>119602.77596127633</v>
      </c>
      <c r="L36" s="4">
        <f t="shared" ca="1" si="26"/>
        <v>-3132.7706617611257</v>
      </c>
      <c r="M36" s="4">
        <f t="shared" ca="1" si="26"/>
        <v>-133438.37723850057</v>
      </c>
      <c r="N36" s="4">
        <f t="shared" ca="1" si="26"/>
        <v>-271780.9485025694</v>
      </c>
      <c r="O36" s="4">
        <f t="shared" ca="1" si="26"/>
        <v>-418656.18684991432</v>
      </c>
      <c r="P36" s="4">
        <f t="shared" ca="1" si="26"/>
        <v>-629590.36851559998</v>
      </c>
      <c r="Q36" s="4">
        <f t="shared" ca="1" si="26"/>
        <v>-853534.50895385363</v>
      </c>
      <c r="R36" s="4">
        <f t="shared" ca="1" si="26"/>
        <v>-1146291.0339542145</v>
      </c>
      <c r="S36" s="4">
        <f t="shared" ca="1" si="26"/>
        <v>-1457104.1408256516</v>
      </c>
      <c r="T36" s="4">
        <f t="shared" ca="1" si="26"/>
        <v>-1732087.5200277253</v>
      </c>
      <c r="U36" s="4">
        <f t="shared" ca="1" si="26"/>
        <v>-2024031.2723580881</v>
      </c>
      <c r="V36" s="4">
        <f t="shared" ca="1" si="26"/>
        <v>-2278981.4765196987</v>
      </c>
      <c r="W36" s="4">
        <f t="shared" ca="1" si="26"/>
        <v>-2549656.4514084044</v>
      </c>
      <c r="X36" s="4">
        <f t="shared" ca="1" si="26"/>
        <v>-2837026.0664747232</v>
      </c>
      <c r="Y36" s="4">
        <f t="shared" ca="1" si="26"/>
        <v>-3142120.0105946753</v>
      </c>
      <c r="Z36" s="4">
        <f t="shared" ca="1" si="26"/>
        <v>-3466031.4816010557</v>
      </c>
      <c r="AA36" s="4">
        <f t="shared" ca="1" si="26"/>
        <v>-3809921.1033769203</v>
      </c>
      <c r="AB36" s="4">
        <f t="shared" ca="1" si="26"/>
        <v>-4175021.0845468296</v>
      </c>
      <c r="AC36" s="4">
        <f t="shared" ca="1" si="26"/>
        <v>-4543547.3108859155</v>
      </c>
      <c r="AD36" s="4">
        <f t="shared" ca="1" si="26"/>
        <v>-4934803.4284802768</v>
      </c>
      <c r="AE36" s="4">
        <f t="shared" ca="1" si="26"/>
        <v>-5350191.3672864567</v>
      </c>
      <c r="AF36" s="4">
        <f t="shared" ca="1" si="26"/>
        <v>-5791199.5252331058</v>
      </c>
      <c r="AG36" s="4">
        <f t="shared" ca="1" si="26"/>
        <v>-6259408.101376297</v>
      </c>
      <c r="AH36" s="4">
        <f t="shared" ca="1" si="26"/>
        <v>-6756494.7579921922</v>
      </c>
      <c r="AI36" s="4">
        <f t="shared" ca="1" si="26"/>
        <v>-7284240.6318951948</v>
      </c>
      <c r="AJ36" s="4">
        <f t="shared" ca="1" si="26"/>
        <v>-7844536.7165210517</v>
      </c>
      <c r="AK36" s="4">
        <f t="shared" ca="1" si="26"/>
        <v>-8439390.6376428772</v>
      </c>
      <c r="AL36" s="4">
        <f t="shared" ca="1" si="26"/>
        <v>-9070933.8469985127</v>
      </c>
      <c r="AM36" s="4">
        <f t="shared" ca="1" si="26"/>
        <v>-9741429.2596050855</v>
      </c>
      <c r="AN36" s="4">
        <f t="shared" ca="1" si="26"/>
        <v>-10453279.362126416</v>
      </c>
      <c r="AO36" s="4">
        <f t="shared" ca="1" si="26"/>
        <v>-11209034.82134678</v>
      </c>
      <c r="AP36" s="4">
        <f t="shared" ca="1" si="26"/>
        <v>-12011403.623596504</v>
      </c>
      <c r="AQ36" s="4">
        <f t="shared" ca="1" si="26"/>
        <v>-12863260.777877331</v>
      </c>
      <c r="AR36" s="4">
        <f t="shared" ca="1" si="26"/>
        <v>-13767658.617455315</v>
      </c>
    </row>
    <row r="37" spans="1:44">
      <c r="A37" s="16">
        <f t="shared" si="9"/>
        <v>200</v>
      </c>
      <c r="B37" s="16">
        <f t="shared" si="10"/>
        <v>9500</v>
      </c>
      <c r="C37" s="4">
        <f t="shared" si="3"/>
        <v>55551.003067804784</v>
      </c>
      <c r="D37" s="4">
        <f t="shared" si="3"/>
        <v>61444.379858484899</v>
      </c>
      <c r="E37" s="4">
        <f t="shared" si="3"/>
        <v>67701.247234107141</v>
      </c>
      <c r="F37" s="4">
        <f t="shared" si="3"/>
        <v>67701.247234107141</v>
      </c>
      <c r="G37" s="4">
        <f t="shared" ca="1" si="4"/>
        <v>35208.04269233076</v>
      </c>
      <c r="H37" s="4">
        <f t="shared" ca="1" si="5"/>
        <v>235208.04269233075</v>
      </c>
      <c r="I37" s="4">
        <f t="shared" ca="1" si="6"/>
        <v>235208.04269233075</v>
      </c>
      <c r="J37" s="4">
        <f t="shared" ca="1" si="7"/>
        <v>235208.04269233075</v>
      </c>
      <c r="K37" s="4">
        <f t="shared" ref="K37:AR37" ca="1" si="27">-1*FV(APR_on_Inv/12,12,-1*$B37+IF((K$18-Boat_Bought_Year)&gt;Boat_Term,0,IF(Cash_for_Boat=1,0,-1*Boat_Payment))+K$17/12,J37)-(K$15*College_yr)</f>
        <v>113434.99477482657</v>
      </c>
      <c r="L37" s="4">
        <f t="shared" ca="1" si="27"/>
        <v>-15848.748282299886</v>
      </c>
      <c r="M37" s="4">
        <f t="shared" ca="1" si="27"/>
        <v>-153106.42972084184</v>
      </c>
      <c r="N37" s="4">
        <f t="shared" ca="1" si="27"/>
        <v>-298829.86461210734</v>
      </c>
      <c r="O37" s="4">
        <f t="shared" ca="1" si="27"/>
        <v>-453541.20210484468</v>
      </c>
      <c r="P37" s="4">
        <f t="shared" ca="1" si="27"/>
        <v>-672794.79636476387</v>
      </c>
      <c r="Q37" s="4">
        <f t="shared" ca="1" si="27"/>
        <v>-905571.47256206116</v>
      </c>
      <c r="R37" s="4">
        <f t="shared" ca="1" si="27"/>
        <v>-1207705.3048002985</v>
      </c>
      <c r="S37" s="4">
        <f t="shared" ca="1" si="27"/>
        <v>-1528474.0907012254</v>
      </c>
      <c r="T37" s="4">
        <f t="shared" ca="1" si="27"/>
        <v>-1814027.1934309532</v>
      </c>
      <c r="U37" s="4">
        <f t="shared" ca="1" si="27"/>
        <v>-2117192.5867081685</v>
      </c>
      <c r="V37" s="4">
        <f t="shared" ca="1" si="27"/>
        <v>-2384056.5580757624</v>
      </c>
      <c r="W37" s="4">
        <f t="shared" ca="1" si="27"/>
        <v>-2667380.1152627794</v>
      </c>
      <c r="X37" s="4">
        <f t="shared" ca="1" si="27"/>
        <v>-2968178.4495067573</v>
      </c>
      <c r="Y37" s="4">
        <f t="shared" ca="1" si="27"/>
        <v>-3287529.3668193896</v>
      </c>
      <c r="Z37" s="4">
        <f t="shared" ca="1" si="27"/>
        <v>-3626577.1499287854</v>
      </c>
      <c r="AA37" s="4">
        <f t="shared" ca="1" si="27"/>
        <v>-3986536.6584178773</v>
      </c>
      <c r="AB37" s="4">
        <f t="shared" ca="1" si="27"/>
        <v>-4368697.6817503972</v>
      </c>
      <c r="AC37" s="4">
        <f t="shared" ca="1" si="27"/>
        <v>-4755337.2380008111</v>
      </c>
      <c r="AD37" s="4">
        <f t="shared" ca="1" si="27"/>
        <v>-5165823.8760610111</v>
      </c>
      <c r="AE37" s="4">
        <f t="shared" ca="1" si="27"/>
        <v>-5601628.4317563782</v>
      </c>
      <c r="AF37" s="4">
        <f t="shared" ca="1" si="27"/>
        <v>-6064312.4588476149</v>
      </c>
      <c r="AG37" s="4">
        <f t="shared" ca="1" si="27"/>
        <v>-6555533.8243144928</v>
      </c>
      <c r="AH37" s="4">
        <f t="shared" ca="1" si="27"/>
        <v>-7077052.6487444583</v>
      </c>
      <c r="AI37" s="4">
        <f t="shared" ca="1" si="27"/>
        <v>-7630737.6131114094</v>
      </c>
      <c r="AJ37" s="4">
        <f t="shared" ca="1" si="27"/>
        <v>-8218572.6545427861</v>
      </c>
      <c r="AK37" s="4">
        <f t="shared" ca="1" si="27"/>
        <v>-8842664.075066926</v>
      </c>
      <c r="AL37" s="4">
        <f t="shared" ca="1" si="27"/>
        <v>-9505248.0888124015</v>
      </c>
      <c r="AM37" s="4">
        <f t="shared" ca="1" si="27"/>
        <v>-10208698.834702095</v>
      </c>
      <c r="AN37" s="4">
        <f t="shared" ca="1" si="27"/>
        <v>-10955536.883352712</v>
      </c>
      <c r="AO37" s="4">
        <f t="shared" ca="1" si="27"/>
        <v>-11748438.268661251</v>
      </c>
      <c r="AP37" s="4">
        <f t="shared" ca="1" si="27"/>
        <v>-12590244.076439951</v>
      </c>
      <c r="AQ37" s="4">
        <f t="shared" ca="1" si="27"/>
        <v>-13483970.624457264</v>
      </c>
      <c r="AR37" s="4">
        <f t="shared" ca="1" si="27"/>
        <v>-14432820.270361498</v>
      </c>
    </row>
    <row r="38" spans="1:44">
      <c r="A38" s="16">
        <f t="shared" si="9"/>
        <v>200</v>
      </c>
      <c r="B38" s="16">
        <f t="shared" si="10"/>
        <v>10000</v>
      </c>
      <c r="C38" s="4">
        <f t="shared" si="3"/>
        <v>55551.003067804784</v>
      </c>
      <c r="D38" s="4">
        <f t="shared" si="3"/>
        <v>61444.379858484899</v>
      </c>
      <c r="E38" s="4">
        <f t="shared" si="3"/>
        <v>67701.247234107141</v>
      </c>
      <c r="F38" s="4">
        <f t="shared" si="3"/>
        <v>67701.247234107141</v>
      </c>
      <c r="G38" s="4">
        <f t="shared" ca="1" si="4"/>
        <v>35208.04269233076</v>
      </c>
      <c r="H38" s="4">
        <f t="shared" ca="1" si="5"/>
        <v>235208.04269233075</v>
      </c>
      <c r="I38" s="4">
        <f t="shared" ca="1" si="6"/>
        <v>235208.04269233075</v>
      </c>
      <c r="J38" s="4">
        <f t="shared" ca="1" si="7"/>
        <v>235208.04269233075</v>
      </c>
      <c r="K38" s="4">
        <f t="shared" ref="K38:AR38" ca="1" si="28">-1*FV(APR_on_Inv/12,12,-1*$B38+IF((K$18-Boat_Bought_Year)&gt;Boat_Term,0,IF(Cash_for_Boat=1,0,-1*Boat_Payment))+K$17/12,J38)-(K$15*College_yr)</f>
        <v>107267.21358837682</v>
      </c>
      <c r="L38" s="4">
        <f t="shared" ca="1" si="28"/>
        <v>-28564.725902838632</v>
      </c>
      <c r="M38" s="4">
        <f t="shared" ca="1" si="28"/>
        <v>-172774.48220318308</v>
      </c>
      <c r="N38" s="4">
        <f t="shared" ca="1" si="28"/>
        <v>-325878.78072164522</v>
      </c>
      <c r="O38" s="4">
        <f t="shared" ca="1" si="28"/>
        <v>-488426.21735977498</v>
      </c>
      <c r="P38" s="4">
        <f t="shared" ca="1" si="28"/>
        <v>-715999.22421392763</v>
      </c>
      <c r="Q38" s="4">
        <f t="shared" ca="1" si="28"/>
        <v>-957608.43617026869</v>
      </c>
      <c r="R38" s="4">
        <f t="shared" ca="1" si="28"/>
        <v>-1269119.5756463825</v>
      </c>
      <c r="S38" s="4">
        <f t="shared" ca="1" si="28"/>
        <v>-1599844.0405767993</v>
      </c>
      <c r="T38" s="4">
        <f t="shared" ca="1" si="28"/>
        <v>-1895966.8668341811</v>
      </c>
      <c r="U38" s="4">
        <f t="shared" ca="1" si="28"/>
        <v>-2210353.9010582492</v>
      </c>
      <c r="V38" s="4">
        <f t="shared" ca="1" si="28"/>
        <v>-2489131.6396318264</v>
      </c>
      <c r="W38" s="4">
        <f t="shared" ca="1" si="28"/>
        <v>-2785103.7791171549</v>
      </c>
      <c r="X38" s="4">
        <f t="shared" ca="1" si="28"/>
        <v>-3099330.8325387924</v>
      </c>
      <c r="Y38" s="4">
        <f t="shared" ca="1" si="28"/>
        <v>-3432938.7230441049</v>
      </c>
      <c r="Z38" s="4">
        <f t="shared" ca="1" si="28"/>
        <v>-3787122.818256516</v>
      </c>
      <c r="AA38" s="4">
        <f t="shared" ca="1" si="28"/>
        <v>-4163152.2134588356</v>
      </c>
      <c r="AB38" s="4">
        <f t="shared" ca="1" si="28"/>
        <v>-4562374.2789539648</v>
      </c>
      <c r="AC38" s="4">
        <f t="shared" ca="1" si="28"/>
        <v>-4967127.1651157057</v>
      </c>
      <c r="AD38" s="4">
        <f t="shared" ca="1" si="28"/>
        <v>-5396844.3236417426</v>
      </c>
      <c r="AE38" s="4">
        <f t="shared" ca="1" si="28"/>
        <v>-5853065.4962262949</v>
      </c>
      <c r="AF38" s="4">
        <f t="shared" ca="1" si="28"/>
        <v>-6337425.3924621176</v>
      </c>
      <c r="AG38" s="4">
        <f t="shared" ca="1" si="28"/>
        <v>-6851659.5472526811</v>
      </c>
      <c r="AH38" s="4">
        <f t="shared" ca="1" si="28"/>
        <v>-7397610.5394967161</v>
      </c>
      <c r="AI38" s="4">
        <f t="shared" ca="1" si="28"/>
        <v>-7977234.5943276146</v>
      </c>
      <c r="AJ38" s="4">
        <f t="shared" ca="1" si="28"/>
        <v>-8592608.592564512</v>
      </c>
      <c r="AK38" s="4">
        <f t="shared" ca="1" si="28"/>
        <v>-9245937.5124909673</v>
      </c>
      <c r="AL38" s="4">
        <f t="shared" ca="1" si="28"/>
        <v>-9939562.3306262828</v>
      </c>
      <c r="AM38" s="4">
        <f t="shared" ca="1" si="28"/>
        <v>-10675968.409799093</v>
      </c>
      <c r="AN38" s="4">
        <f t="shared" ca="1" si="28"/>
        <v>-11457794.404578997</v>
      </c>
      <c r="AO38" s="4">
        <f t="shared" ca="1" si="28"/>
        <v>-12287841.715975709</v>
      </c>
      <c r="AP38" s="4">
        <f t="shared" ca="1" si="28"/>
        <v>-13169084.52928338</v>
      </c>
      <c r="AQ38" s="4">
        <f t="shared" ca="1" si="28"/>
        <v>-14104680.471037183</v>
      </c>
      <c r="AR38" s="4">
        <f t="shared" ca="1" si="28"/>
        <v>-15097981.923267664</v>
      </c>
    </row>
    <row r="39" spans="1:44">
      <c r="A39" s="16">
        <f t="shared" si="9"/>
        <v>200</v>
      </c>
      <c r="B39" s="16">
        <f t="shared" si="10"/>
        <v>10500</v>
      </c>
      <c r="C39" s="4">
        <f t="shared" si="3"/>
        <v>55551.003067804784</v>
      </c>
      <c r="D39" s="4">
        <f t="shared" si="3"/>
        <v>61444.379858484899</v>
      </c>
      <c r="E39" s="4">
        <f t="shared" si="3"/>
        <v>67701.247234107141</v>
      </c>
      <c r="F39" s="4">
        <f t="shared" si="3"/>
        <v>67701.247234107141</v>
      </c>
      <c r="G39" s="4">
        <f t="shared" ca="1" si="4"/>
        <v>35208.04269233076</v>
      </c>
      <c r="H39" s="4">
        <f t="shared" ca="1" si="5"/>
        <v>235208.04269233075</v>
      </c>
      <c r="I39" s="4">
        <f t="shared" ca="1" si="6"/>
        <v>235208.04269233075</v>
      </c>
      <c r="J39" s="4">
        <f t="shared" ca="1" si="7"/>
        <v>235208.04269233075</v>
      </c>
      <c r="K39" s="4">
        <f t="shared" ref="K39:AR39" ca="1" si="29">-1*FV(APR_on_Inv/12,12,-1*$B39+IF((K$18-Boat_Bought_Year)&gt;Boat_Term,0,IF(Cash_for_Boat=1,0,-1*Boat_Payment))+K$17/12,J39)-(K$15*College_yr)</f>
        <v>101099.43240192704</v>
      </c>
      <c r="L39" s="4">
        <f t="shared" ca="1" si="29"/>
        <v>-41280.703523377422</v>
      </c>
      <c r="M39" s="4">
        <f t="shared" ca="1" si="29"/>
        <v>-192442.53468552441</v>
      </c>
      <c r="N39" s="4">
        <f t="shared" ca="1" si="29"/>
        <v>-352927.69683118328</v>
      </c>
      <c r="O39" s="4">
        <f t="shared" ca="1" si="29"/>
        <v>-523311.23261470546</v>
      </c>
      <c r="P39" s="4">
        <f t="shared" ca="1" si="29"/>
        <v>-759203.65206309163</v>
      </c>
      <c r="Q39" s="4">
        <f t="shared" ca="1" si="29"/>
        <v>-1009645.3997784766</v>
      </c>
      <c r="R39" s="4">
        <f t="shared" ca="1" si="29"/>
        <v>-1330533.846492467</v>
      </c>
      <c r="S39" s="4">
        <f t="shared" ca="1" si="29"/>
        <v>-1671213.9904523736</v>
      </c>
      <c r="T39" s="4">
        <f t="shared" ca="1" si="29"/>
        <v>-1977906.5402374095</v>
      </c>
      <c r="U39" s="4">
        <f t="shared" ca="1" si="29"/>
        <v>-2303515.2154083299</v>
      </c>
      <c r="V39" s="4">
        <f t="shared" ca="1" si="29"/>
        <v>-2594206.7211878905</v>
      </c>
      <c r="W39" s="4">
        <f t="shared" ca="1" si="29"/>
        <v>-2902827.4429715304</v>
      </c>
      <c r="X39" s="4">
        <f t="shared" ca="1" si="29"/>
        <v>-3230483.215570827</v>
      </c>
      <c r="Y39" s="4">
        <f t="shared" ca="1" si="29"/>
        <v>-3578348.0792688197</v>
      </c>
      <c r="Z39" s="4">
        <f t="shared" ca="1" si="29"/>
        <v>-3947668.4865842462</v>
      </c>
      <c r="AA39" s="4">
        <f t="shared" ca="1" si="29"/>
        <v>-4339767.7684997935</v>
      </c>
      <c r="AB39" s="4">
        <f t="shared" ca="1" si="29"/>
        <v>-4756050.8761575315</v>
      </c>
      <c r="AC39" s="4">
        <f t="shared" ca="1" si="29"/>
        <v>-5178917.0922305994</v>
      </c>
      <c r="AD39" s="4">
        <f t="shared" ca="1" si="29"/>
        <v>-5627864.7712224741</v>
      </c>
      <c r="AE39" s="4">
        <f t="shared" ca="1" si="29"/>
        <v>-6104502.5606962126</v>
      </c>
      <c r="AF39" s="4">
        <f t="shared" ca="1" si="29"/>
        <v>-6610538.3260766221</v>
      </c>
      <c r="AG39" s="4">
        <f t="shared" ca="1" si="29"/>
        <v>-7147785.2701908713</v>
      </c>
      <c r="AH39" s="4">
        <f t="shared" ca="1" si="29"/>
        <v>-7718168.4302489758</v>
      </c>
      <c r="AI39" s="4">
        <f t="shared" ca="1" si="29"/>
        <v>-8323731.5755438218</v>
      </c>
      <c r="AJ39" s="4">
        <f t="shared" ca="1" si="29"/>
        <v>-8966644.5305862371</v>
      </c>
      <c r="AK39" s="4">
        <f t="shared" ca="1" si="29"/>
        <v>-9649210.9499150068</v>
      </c>
      <c r="AL39" s="4">
        <f t="shared" ca="1" si="29"/>
        <v>-10373876.572440159</v>
      </c>
      <c r="AM39" s="4">
        <f t="shared" ca="1" si="29"/>
        <v>-11143237.984896086</v>
      </c>
      <c r="AN39" s="4">
        <f t="shared" ca="1" si="29"/>
        <v>-11960051.925805274</v>
      </c>
      <c r="AO39" s="4">
        <f t="shared" ca="1" si="29"/>
        <v>-12827245.16329016</v>
      </c>
      <c r="AP39" s="4">
        <f t="shared" ca="1" si="29"/>
        <v>-13747924.982126802</v>
      </c>
      <c r="AQ39" s="4">
        <f t="shared" ca="1" si="29"/>
        <v>-14725390.31761709</v>
      </c>
      <c r="AR39" s="4">
        <f t="shared" ca="1" si="29"/>
        <v>-15763143.576173816</v>
      </c>
    </row>
    <row r="40" spans="1:44">
      <c r="A40" s="19">
        <v>2000</v>
      </c>
      <c r="B40" s="19">
        <f>+Monthly_estimate</f>
        <v>2800</v>
      </c>
      <c r="C40" s="20">
        <f t="shared" si="3"/>
        <v>77755.015339023928</v>
      </c>
      <c r="D40" s="20">
        <f t="shared" si="3"/>
        <v>107221.8992924245</v>
      </c>
      <c r="E40" s="20">
        <f t="shared" si="3"/>
        <v>138506.23617053573</v>
      </c>
      <c r="F40" s="20">
        <f t="shared" si="3"/>
        <v>138506.23617053573</v>
      </c>
      <c r="G40" s="20">
        <f t="shared" ca="1" si="4"/>
        <v>-23959.786538346205</v>
      </c>
      <c r="H40" s="20">
        <f t="shared" ca="1" si="5"/>
        <v>176040.2134616538</v>
      </c>
      <c r="I40" s="20">
        <f t="shared" ca="1" si="6"/>
        <v>176040.2134616538</v>
      </c>
      <c r="J40" s="20">
        <f t="shared" ca="1" si="7"/>
        <v>176040.2134616538</v>
      </c>
      <c r="K40" s="20">
        <f t="shared" ref="K40:AR40" ca="1" si="30">-1*FV(APR_on_Inv/12,12,-1*$B40+IF((K$18-Boat_Bought_Year)&gt;Boat_Term,0,IF(Cash_for_Boat=1,0,-1*Boat_Payment))+K$17/12,J40)-(K$15*College_yr)</f>
        <v>133266.09120285598</v>
      </c>
      <c r="L40" s="20">
        <f t="shared" ca="1" si="30"/>
        <v>87853.754678711033</v>
      </c>
      <c r="M40" s="20">
        <f t="shared" ca="1" si="30"/>
        <v>39640.484606102626</v>
      </c>
      <c r="N40" s="20">
        <f t="shared" ca="1" si="30"/>
        <v>-11546.474467416345</v>
      </c>
      <c r="O40" s="20">
        <f t="shared" ca="1" si="30"/>
        <v>-65890.533172587559</v>
      </c>
      <c r="P40" s="20">
        <f t="shared" ca="1" si="30"/>
        <v>-178586.41450652955</v>
      </c>
      <c r="Q40" s="20">
        <f t="shared" ca="1" si="30"/>
        <v>-298233.13120729011</v>
      </c>
      <c r="R40" s="20">
        <f t="shared" ca="1" si="30"/>
        <v>-480259.39559092507</v>
      </c>
      <c r="S40" s="20">
        <f t="shared" ca="1" si="30"/>
        <v>-673512.64166361117</v>
      </c>
      <c r="T40" s="20">
        <f t="shared" ca="1" si="30"/>
        <v>-823685.32508977188</v>
      </c>
      <c r="U40" s="20">
        <f t="shared" ca="1" si="30"/>
        <v>-983120.33103147813</v>
      </c>
      <c r="V40" s="20">
        <f t="shared" ca="1" si="30"/>
        <v>-1097388.939274272</v>
      </c>
      <c r="W40" s="20">
        <f t="shared" ca="1" si="30"/>
        <v>-1218705.3852382826</v>
      </c>
      <c r="X40" s="20">
        <f t="shared" ca="1" si="30"/>
        <v>-1347504.364132531</v>
      </c>
      <c r="Y40" s="20">
        <f t="shared" ca="1" si="30"/>
        <v>-1484247.3822153583</v>
      </c>
      <c r="Z40" s="20">
        <f t="shared" ca="1" si="30"/>
        <v>-1629424.4104412817</v>
      </c>
      <c r="AA40" s="20">
        <f t="shared" ca="1" si="30"/>
        <v>-1783555.6401011706</v>
      </c>
      <c r="AB40" s="20">
        <f t="shared" ca="1" si="30"/>
        <v>-1947193.3467464659</v>
      </c>
      <c r="AC40" s="20">
        <f t="shared" ca="1" si="30"/>
        <v>-2101831.5462950147</v>
      </c>
      <c r="AD40" s="20">
        <f t="shared" ca="1" si="30"/>
        <v>-2266007.4916223832</v>
      </c>
      <c r="AE40" s="20">
        <f t="shared" ca="1" si="30"/>
        <v>-2440309.4500183291</v>
      </c>
      <c r="AF40" s="20">
        <f t="shared" ca="1" si="30"/>
        <v>-2625361.9718118338</v>
      </c>
      <c r="AG40" s="20">
        <f t="shared" ca="1" si="30"/>
        <v>-2821828.1282295692</v>
      </c>
      <c r="AH40" s="20">
        <f t="shared" ca="1" si="30"/>
        <v>-3030411.8872805787</v>
      </c>
      <c r="AI40" s="20">
        <f t="shared" ca="1" si="30"/>
        <v>-3251860.6361803259</v>
      </c>
      <c r="AJ40" s="20">
        <f t="shared" ca="1" si="30"/>
        <v>-3486967.85935234</v>
      </c>
      <c r="AK40" s="20">
        <f t="shared" ca="1" si="30"/>
        <v>-3736575.9816031423</v>
      </c>
      <c r="AL40" s="20">
        <f t="shared" ca="1" si="30"/>
        <v>-4001579.3866579798</v>
      </c>
      <c r="AM40" s="20">
        <f t="shared" ca="1" si="30"/>
        <v>-4282927.6218732409</v>
      </c>
      <c r="AN40" s="20">
        <f t="shared" ca="1" si="30"/>
        <v>-4581628.8006085176</v>
      </c>
      <c r="AO40" s="20">
        <f t="shared" ca="1" si="30"/>
        <v>-4898753.2144495323</v>
      </c>
      <c r="AP40" s="20">
        <f t="shared" ca="1" si="30"/>
        <v>-5235437.1682250723</v>
      </c>
      <c r="AQ40" s="20">
        <f t="shared" ca="1" si="30"/>
        <v>-5592887.0515593747</v>
      </c>
      <c r="AR40" s="20">
        <f t="shared" ca="1" si="30"/>
        <v>-5972383.6615489572</v>
      </c>
    </row>
    <row r="41" spans="1:44">
      <c r="A41" s="16" t="s">
        <v>27</v>
      </c>
      <c r="B41" s="16"/>
      <c r="C41" s="4"/>
      <c r="D41" s="4"/>
      <c r="E41" s="4"/>
      <c r="F41" s="4"/>
      <c r="G41" s="4"/>
      <c r="H41" s="4"/>
      <c r="I41" s="4"/>
      <c r="J41" s="4"/>
      <c r="K41" s="4">
        <f ca="1">IF(K16&lt;60,0,Retirement!F7)</f>
        <v>0</v>
      </c>
      <c r="L41" s="4">
        <f ca="1">IF(L16&lt;60,0,Retirement!G7)</f>
        <v>0</v>
      </c>
      <c r="M41" s="4">
        <f ca="1">IF(M16&lt;60,0,Retirement!H7)</f>
        <v>0</v>
      </c>
      <c r="N41" s="4">
        <f ca="1">IF(N16&lt;60,0,Retirement!I7)</f>
        <v>0</v>
      </c>
      <c r="O41" s="4">
        <f ca="1">IF(O16&lt;60,0,Retirement!J7)</f>
        <v>0</v>
      </c>
      <c r="P41" s="4">
        <f ca="1">IF(P16&lt;60,0,Retirement!K7)</f>
        <v>0</v>
      </c>
      <c r="Q41" s="4">
        <f ca="1">IF(Q16&lt;60,0,Retirement!L7)</f>
        <v>0</v>
      </c>
      <c r="R41" s="4">
        <f ca="1">IF(R16&lt;60,0,Retirement!M7)</f>
        <v>0</v>
      </c>
      <c r="S41" s="4">
        <f ca="1">IF(S16&lt;60,0,Retirement!N7)</f>
        <v>0</v>
      </c>
      <c r="T41" s="4">
        <f ca="1">IF(T16&lt;60,0,Retirement!O7)</f>
        <v>0</v>
      </c>
      <c r="U41" s="4">
        <f ca="1">IF(U16&lt;60,0,Retirement!P7)</f>
        <v>0</v>
      </c>
      <c r="V41" s="4">
        <f ca="1">IF(V16&lt;60,0,Retirement!Q7)</f>
        <v>0</v>
      </c>
      <c r="W41" s="4">
        <f ca="1">IF(W16&lt;60,0,Retirement!R7)</f>
        <v>0</v>
      </c>
      <c r="X41" s="4">
        <f ca="1">IF(X16&lt;60,0,Retirement!S7)</f>
        <v>0</v>
      </c>
      <c r="Y41" s="4">
        <f ca="1">IF(Y16&lt;60,0,Retirement!T7)</f>
        <v>0</v>
      </c>
      <c r="Z41" s="4">
        <f ca="1">IF(Z16&lt;60,0,Retirement!U7)</f>
        <v>0</v>
      </c>
      <c r="AA41" s="4">
        <f ca="1">IF(AA16&lt;60,0,Retirement!V7)</f>
        <v>0</v>
      </c>
      <c r="AB41" s="4">
        <f ca="1">IF(AB16&lt;60,0,Retirement!W7)</f>
        <v>0</v>
      </c>
      <c r="AC41" s="4">
        <f ca="1">IF(AC16&lt;60,0,Retirement!X7)</f>
        <v>0</v>
      </c>
      <c r="AD41" s="4">
        <f ca="1">IF(AD16&lt;60,0,Retirement!Y7)</f>
        <v>0</v>
      </c>
      <c r="AE41" s="4">
        <f ca="1">IF(AE16&lt;60,0,Retirement!Z7)</f>
        <v>0</v>
      </c>
      <c r="AF41" s="4">
        <f ca="1">IF(AF16&lt;60,0,Retirement!AA7)</f>
        <v>0</v>
      </c>
      <c r="AG41" s="4">
        <f ca="1">IF(AG16&lt;60,0,Retirement!AB7)</f>
        <v>0</v>
      </c>
      <c r="AH41" s="4">
        <f ca="1">IF(AH16&lt;60,0,Retirement!AC7)</f>
        <v>0</v>
      </c>
      <c r="AI41" s="4">
        <f ca="1">IF(AI16&lt;60,0,Retirement!AD7)</f>
        <v>0</v>
      </c>
      <c r="AJ41" s="4">
        <f ca="1">IF(AJ16&lt;60,0,Retirement!AE7)</f>
        <v>0</v>
      </c>
      <c r="AK41" s="4">
        <f ca="1">IF(AK16&lt;60,0,Retirement!AF7)</f>
        <v>0</v>
      </c>
      <c r="AL41" s="4">
        <f ca="1">IF(AL16&lt;60,0,Retirement!AG7)</f>
        <v>0</v>
      </c>
      <c r="AM41" s="4">
        <f ca="1">IF(AM16&lt;60,0,Retirement!AH7)</f>
        <v>0</v>
      </c>
      <c r="AN41" s="4">
        <f ca="1">IF(AN16&lt;60,0,Retirement!AI7)</f>
        <v>0</v>
      </c>
      <c r="AO41" s="4">
        <f ca="1">IF(AO16&lt;60,0,Retirement!AJ7)</f>
        <v>0</v>
      </c>
      <c r="AP41" s="4">
        <f ca="1">IF(AP16&lt;60,0,Retirement!AK7)</f>
        <v>0</v>
      </c>
      <c r="AQ41" s="4">
        <f ca="1">IF(AQ16&lt;60,0,Retirement!AL7)</f>
        <v>0</v>
      </c>
      <c r="AR41" s="4">
        <f ca="1">IF(AR16&lt;60,0,Retirement!AM7)</f>
        <v>0</v>
      </c>
    </row>
    <row r="42" spans="1:44">
      <c r="A42" s="2" t="s">
        <v>28</v>
      </c>
      <c r="K42" s="21">
        <f t="shared" ref="K42:AR42" ca="1" si="31">K40+K41</f>
        <v>133266.09120285598</v>
      </c>
      <c r="L42" s="21">
        <f t="shared" ca="1" si="31"/>
        <v>87853.754678711033</v>
      </c>
      <c r="M42" s="21">
        <f t="shared" ca="1" si="31"/>
        <v>39640.484606102626</v>
      </c>
      <c r="N42" s="21">
        <f t="shared" ca="1" si="31"/>
        <v>-11546.474467416345</v>
      </c>
      <c r="O42" s="21">
        <f t="shared" ca="1" si="31"/>
        <v>-65890.533172587559</v>
      </c>
      <c r="P42" s="21">
        <f t="shared" ca="1" si="31"/>
        <v>-178586.41450652955</v>
      </c>
      <c r="Q42" s="21">
        <f t="shared" ca="1" si="31"/>
        <v>-298233.13120729011</v>
      </c>
      <c r="R42" s="21">
        <f t="shared" ca="1" si="31"/>
        <v>-480259.39559092507</v>
      </c>
      <c r="S42" s="21">
        <f t="shared" ca="1" si="31"/>
        <v>-673512.64166361117</v>
      </c>
      <c r="T42" s="21">
        <f t="shared" ca="1" si="31"/>
        <v>-823685.32508977188</v>
      </c>
      <c r="U42" s="21">
        <f t="shared" ca="1" si="31"/>
        <v>-983120.33103147813</v>
      </c>
      <c r="V42" s="21">
        <f t="shared" ca="1" si="31"/>
        <v>-1097388.939274272</v>
      </c>
      <c r="W42" s="21">
        <f t="shared" ca="1" si="31"/>
        <v>-1218705.3852382826</v>
      </c>
      <c r="X42" s="21">
        <f t="shared" ca="1" si="31"/>
        <v>-1347504.364132531</v>
      </c>
      <c r="Y42" s="21">
        <f t="shared" ca="1" si="31"/>
        <v>-1484247.3822153583</v>
      </c>
      <c r="Z42" s="21">
        <f t="shared" ca="1" si="31"/>
        <v>-1629424.4104412817</v>
      </c>
      <c r="AA42" s="21">
        <f t="shared" ca="1" si="31"/>
        <v>-1783555.6401011706</v>
      </c>
      <c r="AB42" s="21">
        <f t="shared" ca="1" si="31"/>
        <v>-1947193.3467464659</v>
      </c>
      <c r="AC42" s="21">
        <f t="shared" ca="1" si="31"/>
        <v>-2101831.5462950147</v>
      </c>
      <c r="AD42" s="21">
        <f t="shared" ca="1" si="31"/>
        <v>-2266007.4916223832</v>
      </c>
      <c r="AE42" s="21">
        <f t="shared" ca="1" si="31"/>
        <v>-2440309.4500183291</v>
      </c>
      <c r="AF42" s="21">
        <f t="shared" ca="1" si="31"/>
        <v>-2625361.9718118338</v>
      </c>
      <c r="AG42" s="21">
        <f t="shared" ca="1" si="31"/>
        <v>-2821828.1282295692</v>
      </c>
      <c r="AH42" s="21">
        <f t="shared" ca="1" si="31"/>
        <v>-3030411.8872805787</v>
      </c>
      <c r="AI42" s="21">
        <f t="shared" ca="1" si="31"/>
        <v>-3251860.6361803259</v>
      </c>
      <c r="AJ42" s="21">
        <f t="shared" ca="1" si="31"/>
        <v>-3486967.85935234</v>
      </c>
      <c r="AK42" s="21">
        <f t="shared" ca="1" si="31"/>
        <v>-3736575.9816031423</v>
      </c>
      <c r="AL42" s="21">
        <f t="shared" ca="1" si="31"/>
        <v>-4001579.3866579798</v>
      </c>
      <c r="AM42" s="21">
        <f t="shared" ca="1" si="31"/>
        <v>-4282927.6218732409</v>
      </c>
      <c r="AN42" s="21">
        <f t="shared" ca="1" si="31"/>
        <v>-4581628.8006085176</v>
      </c>
      <c r="AO42" s="21">
        <f t="shared" ca="1" si="31"/>
        <v>-4898753.2144495323</v>
      </c>
      <c r="AP42" s="21">
        <f t="shared" ca="1" si="31"/>
        <v>-5235437.1682250723</v>
      </c>
      <c r="AQ42" s="21">
        <f t="shared" ca="1" si="31"/>
        <v>-5592887.0515593747</v>
      </c>
      <c r="AR42" s="21">
        <f t="shared" ca="1" si="31"/>
        <v>-5972383.6615489572</v>
      </c>
    </row>
    <row r="43" spans="1:44">
      <c r="A43" t="s">
        <v>29</v>
      </c>
    </row>
    <row r="44" spans="1:44">
      <c r="A44" t="s">
        <v>30</v>
      </c>
    </row>
    <row r="45" spans="1:44">
      <c r="A45" t="s">
        <v>31</v>
      </c>
    </row>
    <row r="48" spans="1:44">
      <c r="A48" s="2" t="s">
        <v>32</v>
      </c>
    </row>
    <row r="49" spans="1:2">
      <c r="A49" t="s">
        <v>0</v>
      </c>
      <c r="B49" t="s">
        <v>33</v>
      </c>
    </row>
    <row r="50" spans="1:2">
      <c r="A50" t="s">
        <v>1</v>
      </c>
      <c r="B50" t="s">
        <v>34</v>
      </c>
    </row>
    <row r="51" spans="1:2">
      <c r="A51" t="s">
        <v>35</v>
      </c>
      <c r="B51" t="s">
        <v>36</v>
      </c>
    </row>
    <row r="52" spans="1:2">
      <c r="A52" t="s">
        <v>37</v>
      </c>
      <c r="B52" t="s">
        <v>38</v>
      </c>
    </row>
    <row r="53" spans="1:2">
      <c r="A53" t="s">
        <v>128</v>
      </c>
      <c r="B53" t="s">
        <v>39</v>
      </c>
    </row>
    <row r="54" spans="1:2">
      <c r="A54" t="s">
        <v>40</v>
      </c>
      <c r="B54" t="s">
        <v>41</v>
      </c>
    </row>
    <row r="55" spans="1:2">
      <c r="B55" t="s">
        <v>42</v>
      </c>
    </row>
    <row r="56" spans="1:2">
      <c r="A56" t="s">
        <v>5</v>
      </c>
      <c r="B56" t="s">
        <v>43</v>
      </c>
    </row>
    <row r="57" spans="1:2">
      <c r="A57" t="s">
        <v>44</v>
      </c>
      <c r="B57" t="s">
        <v>45</v>
      </c>
    </row>
    <row r="58" spans="1:2">
      <c r="A58" t="s">
        <v>46</v>
      </c>
      <c r="B58" t="s">
        <v>47</v>
      </c>
    </row>
    <row r="60" spans="1:2">
      <c r="A60" s="2" t="s">
        <v>48</v>
      </c>
    </row>
    <row r="61" spans="1:2">
      <c r="A61" t="s">
        <v>49</v>
      </c>
      <c r="B61" t="s">
        <v>50</v>
      </c>
    </row>
    <row r="62" spans="1:2">
      <c r="A62" t="s">
        <v>16</v>
      </c>
      <c r="B62" t="s">
        <v>51</v>
      </c>
    </row>
    <row r="63" spans="1:2">
      <c r="A63" t="s">
        <v>21</v>
      </c>
      <c r="B63" t="s">
        <v>52</v>
      </c>
    </row>
    <row r="64" spans="1:2">
      <c r="A64" t="s">
        <v>22</v>
      </c>
      <c r="B64" t="s">
        <v>53</v>
      </c>
    </row>
    <row r="65" spans="1:2">
      <c r="A65" t="s">
        <v>54</v>
      </c>
      <c r="B65" t="s">
        <v>55</v>
      </c>
    </row>
    <row r="66" spans="1:2">
      <c r="A66" t="s">
        <v>56</v>
      </c>
      <c r="B66" t="s">
        <v>57</v>
      </c>
    </row>
  </sheetData>
  <sheetProtection sheet="1" objects="1" scenarios="1"/>
  <printOptions horizontalCentered="1" verticalCentered="1" gridLines="1"/>
  <pageMargins left="0.5" right="0.5" top="0.5" bottom="0.5" header="0.5" footer="0.5"/>
  <pageSetup firstPageNumber="0" orientation="landscape" horizontalDpi="300" verticalDpi="300"/>
  <headerFooter alignWithMargins="0">
    <oddHeader>&amp;C&amp;"Arial,Bold"&amp;12Cruise Spreads and Assumptions</oddHeader>
    <oddFooter>&amp;CPage &amp;P of &amp;N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0"/>
  <sheetViews>
    <sheetView workbookViewId="0">
      <selection activeCell="D9" sqref="D9"/>
    </sheetView>
  </sheetViews>
  <sheetFormatPr defaultRowHeight="12.75"/>
  <cols>
    <col min="1" max="1" width="16.28515625" customWidth="1"/>
    <col min="2" max="2" width="10.140625" customWidth="1"/>
    <col min="3" max="3" width="16.140625" customWidth="1"/>
    <col min="4" max="4" width="12.140625" customWidth="1"/>
    <col min="5" max="5" width="6.28515625" customWidth="1"/>
    <col min="6" max="6" width="5.140625" customWidth="1"/>
    <col min="7" max="7" width="9.5703125" customWidth="1"/>
    <col min="10" max="11" width="10.140625" customWidth="1"/>
    <col min="12" max="12" width="11.5703125" customWidth="1"/>
    <col min="14" max="14" width="11.140625" customWidth="1"/>
    <col min="15" max="15" width="10.140625" customWidth="1"/>
    <col min="16" max="16" width="11.5703125" customWidth="1"/>
    <col min="18" max="19" width="10.140625" customWidth="1"/>
    <col min="20" max="20" width="11.5703125" customWidth="1"/>
  </cols>
  <sheetData>
    <row r="1" spans="1:4">
      <c r="A1" t="s">
        <v>58</v>
      </c>
      <c r="B1" t="s">
        <v>59</v>
      </c>
      <c r="C1" t="s">
        <v>60</v>
      </c>
      <c r="D1" t="s">
        <v>61</v>
      </c>
    </row>
    <row r="2" spans="1:4">
      <c r="A2" t="s">
        <v>62</v>
      </c>
      <c r="B2" s="22">
        <v>600</v>
      </c>
      <c r="C2" s="1">
        <f t="shared" ref="C2:C14" si="0">+B2*12</f>
        <v>7200</v>
      </c>
      <c r="D2" t="s">
        <v>63</v>
      </c>
    </row>
    <row r="3" spans="1:4">
      <c r="A3" t="s">
        <v>64</v>
      </c>
      <c r="B3" s="22">
        <v>100</v>
      </c>
      <c r="C3" s="1">
        <f t="shared" si="0"/>
        <v>1200</v>
      </c>
      <c r="D3" t="s">
        <v>65</v>
      </c>
    </row>
    <row r="4" spans="1:4">
      <c r="A4" t="s">
        <v>66</v>
      </c>
      <c r="B4" s="22">
        <v>200</v>
      </c>
      <c r="C4" s="1">
        <f t="shared" si="0"/>
        <v>2400</v>
      </c>
      <c r="D4" t="s">
        <v>67</v>
      </c>
    </row>
    <row r="5" spans="1:4">
      <c r="A5" t="s">
        <v>68</v>
      </c>
      <c r="B5" s="22">
        <v>300</v>
      </c>
      <c r="C5" s="1">
        <f t="shared" si="0"/>
        <v>3600</v>
      </c>
      <c r="D5" t="s">
        <v>69</v>
      </c>
    </row>
    <row r="6" spans="1:4">
      <c r="A6" t="s">
        <v>70</v>
      </c>
      <c r="B6" s="22">
        <v>500</v>
      </c>
      <c r="C6" s="1">
        <f t="shared" si="0"/>
        <v>6000</v>
      </c>
    </row>
    <row r="7" spans="1:4">
      <c r="A7" t="s">
        <v>71</v>
      </c>
      <c r="B7" s="22">
        <v>100</v>
      </c>
      <c r="C7" s="1">
        <f t="shared" si="0"/>
        <v>1200</v>
      </c>
    </row>
    <row r="8" spans="1:4">
      <c r="A8" t="s">
        <v>72</v>
      </c>
      <c r="B8" s="22">
        <v>200</v>
      </c>
      <c r="C8" s="1">
        <f t="shared" si="0"/>
        <v>2400</v>
      </c>
      <c r="D8" t="s">
        <v>73</v>
      </c>
    </row>
    <row r="9" spans="1:4">
      <c r="A9" t="s">
        <v>74</v>
      </c>
      <c r="B9" s="22">
        <v>100</v>
      </c>
      <c r="C9" s="1">
        <f t="shared" si="0"/>
        <v>1200</v>
      </c>
    </row>
    <row r="10" spans="1:4">
      <c r="A10" t="s">
        <v>75</v>
      </c>
      <c r="B10" s="22">
        <v>200</v>
      </c>
      <c r="C10" s="1">
        <f t="shared" si="0"/>
        <v>2400</v>
      </c>
      <c r="D10" t="s">
        <v>76</v>
      </c>
    </row>
    <row r="11" spans="1:4">
      <c r="A11" s="23" t="s">
        <v>77</v>
      </c>
      <c r="B11" s="22">
        <v>200</v>
      </c>
      <c r="C11" s="1">
        <f t="shared" si="0"/>
        <v>2400</v>
      </c>
      <c r="D11" s="23"/>
    </row>
    <row r="12" spans="1:4">
      <c r="A12" s="23" t="s">
        <v>78</v>
      </c>
      <c r="B12" s="22">
        <v>200</v>
      </c>
      <c r="C12" s="1">
        <f t="shared" si="0"/>
        <v>2400</v>
      </c>
      <c r="D12" s="23"/>
    </row>
    <row r="13" spans="1:4">
      <c r="A13" s="23" t="s">
        <v>79</v>
      </c>
      <c r="B13" s="22">
        <v>100</v>
      </c>
      <c r="C13" s="1">
        <f t="shared" si="0"/>
        <v>1200</v>
      </c>
      <c r="D13" s="23"/>
    </row>
    <row r="14" spans="1:4">
      <c r="A14" s="23" t="s">
        <v>80</v>
      </c>
      <c r="B14" s="22">
        <v>0</v>
      </c>
      <c r="C14" s="1">
        <f t="shared" si="0"/>
        <v>0</v>
      </c>
      <c r="D14" s="23"/>
    </row>
    <row r="15" spans="1:4">
      <c r="A15" t="s">
        <v>81</v>
      </c>
      <c r="B15" s="24">
        <f>SUM(B2:B14)</f>
        <v>2800</v>
      </c>
      <c r="C15" s="24">
        <f>SUM(C2:C14)</f>
        <v>33600</v>
      </c>
    </row>
    <row r="18" spans="1:20">
      <c r="F18" t="s">
        <v>82</v>
      </c>
      <c r="I18" t="s">
        <v>83</v>
      </c>
      <c r="N18" t="s">
        <v>84</v>
      </c>
      <c r="R18" t="s">
        <v>85</v>
      </c>
    </row>
    <row r="19" spans="1:20">
      <c r="A19" t="s">
        <v>86</v>
      </c>
      <c r="B19" t="s">
        <v>87</v>
      </c>
      <c r="C19" t="s">
        <v>88</v>
      </c>
      <c r="D19" t="s">
        <v>89</v>
      </c>
      <c r="E19" t="s">
        <v>90</v>
      </c>
      <c r="F19" t="s">
        <v>91</v>
      </c>
      <c r="G19" t="s">
        <v>92</v>
      </c>
      <c r="I19" t="s">
        <v>93</v>
      </c>
      <c r="J19" t="s">
        <v>94</v>
      </c>
      <c r="K19" t="s">
        <v>95</v>
      </c>
      <c r="L19" t="s">
        <v>96</v>
      </c>
      <c r="N19" t="s">
        <v>94</v>
      </c>
      <c r="O19" t="s">
        <v>95</v>
      </c>
      <c r="P19" t="s">
        <v>96</v>
      </c>
    </row>
    <row r="20" spans="1:20">
      <c r="A20" s="3">
        <v>250000</v>
      </c>
      <c r="B20" s="25">
        <v>0.1</v>
      </c>
      <c r="C20" s="4">
        <f>+B20*A20</f>
        <v>25000</v>
      </c>
      <c r="D20" s="4">
        <f>(1-B20)*A20</f>
        <v>225000</v>
      </c>
      <c r="E20" s="26">
        <v>5.5E-2</v>
      </c>
      <c r="F20" s="27">
        <v>20</v>
      </c>
      <c r="G20" s="28">
        <f>+PMT(E20/12,F20*12,D20)*-1</f>
        <v>1547.7464426832853</v>
      </c>
      <c r="I20">
        <v>1</v>
      </c>
      <c r="J20" s="29">
        <f t="shared" ref="J20:J35" si="1">+IPMT($E$20/12,$I20,240,$D$20)</f>
        <v>-1031.25</v>
      </c>
      <c r="K20" s="29">
        <f t="shared" ref="K20:K35" si="2">+PPMT($E$20/12,$I20,240,$D$20)</f>
        <v>-516.4964426832853</v>
      </c>
      <c r="L20" s="29">
        <f t="shared" ref="L20:L35" si="3">+K20+J20</f>
        <v>-1547.7464426832853</v>
      </c>
      <c r="N20" s="29">
        <f t="shared" ref="N20:N35" si="4">+IPMT(($E$20-0.005)/12,$I20,240,$D$20)</f>
        <v>-937.5</v>
      </c>
      <c r="O20" s="29">
        <f t="shared" ref="O20:O35" si="5">+PPMT(($E$20-0.005)/12,$I20,240,$D$20)</f>
        <v>-547.40041323747573</v>
      </c>
      <c r="P20" s="29">
        <f t="shared" ref="P20:P35" si="6">+O20+N20</f>
        <v>-1484.9004132374757</v>
      </c>
      <c r="R20" s="29">
        <f t="shared" ref="R20:R35" si="7">+IPMT(($E$20-0.0075)/12,$I20,240,$D$20)</f>
        <v>-890.62500000000011</v>
      </c>
      <c r="S20" s="29">
        <f t="shared" ref="S20:S35" si="8">+PPMT(($E$20-0.0075)/12,$I20,240,$D$20)</f>
        <v>-563.37816249652553</v>
      </c>
      <c r="T20" s="29">
        <f t="shared" ref="T20:T35" si="9">+S20+R20</f>
        <v>-1454.0031624965256</v>
      </c>
    </row>
    <row r="21" spans="1:20">
      <c r="B21" s="30"/>
      <c r="C21" s="4"/>
      <c r="D21" s="4"/>
      <c r="E21" s="31"/>
      <c r="G21" s="28"/>
      <c r="I21">
        <f t="shared" ref="I21:I31" si="10">+I20+1</f>
        <v>2</v>
      </c>
      <c r="J21" s="29">
        <f t="shared" si="1"/>
        <v>-1028.8827246377016</v>
      </c>
      <c r="K21" s="29">
        <f t="shared" si="2"/>
        <v>-518.86371804558371</v>
      </c>
      <c r="L21" s="29">
        <f t="shared" si="3"/>
        <v>-1547.7464426832853</v>
      </c>
      <c r="N21" s="29">
        <f t="shared" si="4"/>
        <v>-935.21916494484378</v>
      </c>
      <c r="O21" s="29">
        <f t="shared" si="5"/>
        <v>-549.68124829263195</v>
      </c>
      <c r="P21" s="29">
        <f t="shared" si="6"/>
        <v>-1484.9004132374757</v>
      </c>
      <c r="R21" s="29">
        <f t="shared" si="7"/>
        <v>-888.39496144011798</v>
      </c>
      <c r="S21" s="29">
        <f t="shared" si="8"/>
        <v>-565.60820105640767</v>
      </c>
      <c r="T21" s="29">
        <f t="shared" si="9"/>
        <v>-1454.0031624965256</v>
      </c>
    </row>
    <row r="22" spans="1:20">
      <c r="B22" s="30"/>
      <c r="C22" s="4"/>
      <c r="D22" s="4"/>
      <c r="E22" s="31"/>
      <c r="G22" s="28"/>
      <c r="I22">
        <f t="shared" si="10"/>
        <v>3</v>
      </c>
      <c r="J22" s="29">
        <f t="shared" si="1"/>
        <v>-1026.5045992633259</v>
      </c>
      <c r="K22" s="29">
        <f t="shared" si="2"/>
        <v>-521.24184341995942</v>
      </c>
      <c r="L22" s="29">
        <f t="shared" si="3"/>
        <v>-1547.7464426832853</v>
      </c>
      <c r="N22" s="29">
        <f t="shared" si="4"/>
        <v>-932.92882641029109</v>
      </c>
      <c r="O22" s="29">
        <f t="shared" si="5"/>
        <v>-551.97158682718464</v>
      </c>
      <c r="P22" s="29">
        <f t="shared" si="6"/>
        <v>-1484.9004132374757</v>
      </c>
      <c r="R22" s="29">
        <f t="shared" si="7"/>
        <v>-886.15609564426973</v>
      </c>
      <c r="S22" s="29">
        <f t="shared" si="8"/>
        <v>-567.84706685225592</v>
      </c>
      <c r="T22" s="29">
        <f t="shared" si="9"/>
        <v>-1454.0031624965256</v>
      </c>
    </row>
    <row r="23" spans="1:20">
      <c r="B23" s="30"/>
      <c r="C23" s="4"/>
      <c r="D23" s="4"/>
      <c r="E23" s="31"/>
      <c r="G23" s="28"/>
      <c r="I23">
        <f t="shared" si="10"/>
        <v>4</v>
      </c>
      <c r="J23" s="29">
        <f t="shared" si="1"/>
        <v>-1024.1155741476512</v>
      </c>
      <c r="K23" s="29">
        <f t="shared" si="2"/>
        <v>-523.63086853563414</v>
      </c>
      <c r="L23" s="29">
        <f t="shared" si="3"/>
        <v>-1547.7464426832853</v>
      </c>
      <c r="N23" s="29">
        <f t="shared" si="4"/>
        <v>-930.62894479851116</v>
      </c>
      <c r="O23" s="29">
        <f t="shared" si="5"/>
        <v>-554.27146843896458</v>
      </c>
      <c r="P23" s="29">
        <f t="shared" si="6"/>
        <v>-1484.9004132374757</v>
      </c>
      <c r="R23" s="29">
        <f t="shared" si="7"/>
        <v>-883.90836767131304</v>
      </c>
      <c r="S23" s="29">
        <f t="shared" si="8"/>
        <v>-570.0947948252126</v>
      </c>
      <c r="T23" s="29">
        <f t="shared" si="9"/>
        <v>-1454.0031624965256</v>
      </c>
    </row>
    <row r="24" spans="1:20">
      <c r="B24" s="30"/>
      <c r="C24" s="4"/>
      <c r="D24" s="4"/>
      <c r="E24" s="31"/>
      <c r="G24" s="28"/>
      <c r="I24">
        <f t="shared" si="10"/>
        <v>5</v>
      </c>
      <c r="J24" s="29">
        <f t="shared" si="1"/>
        <v>-1021.7155993335296</v>
      </c>
      <c r="K24" s="29">
        <f t="shared" si="2"/>
        <v>-526.03084334975574</v>
      </c>
      <c r="L24" s="29">
        <f t="shared" si="3"/>
        <v>-1547.7464426832853</v>
      </c>
      <c r="N24" s="29">
        <f t="shared" si="4"/>
        <v>-928.31948034668221</v>
      </c>
      <c r="O24" s="29">
        <f t="shared" si="5"/>
        <v>-556.58093289079352</v>
      </c>
      <c r="P24" s="29">
        <f t="shared" si="6"/>
        <v>-1484.9004132374757</v>
      </c>
      <c r="R24" s="29">
        <f t="shared" si="7"/>
        <v>-881.6517424417965</v>
      </c>
      <c r="S24" s="29">
        <f t="shared" si="8"/>
        <v>-572.35142005472915</v>
      </c>
      <c r="T24" s="29">
        <f t="shared" si="9"/>
        <v>-1454.0031624965256</v>
      </c>
    </row>
    <row r="25" spans="1:20">
      <c r="B25" s="30"/>
      <c r="C25" s="4"/>
      <c r="D25" s="4"/>
      <c r="E25" s="31"/>
      <c r="G25" s="28"/>
      <c r="I25">
        <f t="shared" si="10"/>
        <v>6</v>
      </c>
      <c r="J25" s="29">
        <f t="shared" si="1"/>
        <v>-1019.3046246348431</v>
      </c>
      <c r="K25" s="29">
        <f t="shared" si="2"/>
        <v>-528.4418180484422</v>
      </c>
      <c r="L25" s="29">
        <f t="shared" si="3"/>
        <v>-1547.7464426832853</v>
      </c>
      <c r="N25" s="29">
        <f t="shared" si="4"/>
        <v>-926.00039312630395</v>
      </c>
      <c r="O25" s="29">
        <f t="shared" si="5"/>
        <v>-558.90002011117178</v>
      </c>
      <c r="P25" s="29">
        <f t="shared" si="6"/>
        <v>-1484.9004132374757</v>
      </c>
      <c r="R25" s="29">
        <f t="shared" si="7"/>
        <v>-879.38618473741337</v>
      </c>
      <c r="S25" s="29">
        <f t="shared" si="8"/>
        <v>-574.61697775911227</v>
      </c>
      <c r="T25" s="29">
        <f t="shared" si="9"/>
        <v>-1454.0031624965256</v>
      </c>
    </row>
    <row r="26" spans="1:20">
      <c r="B26" s="30"/>
      <c r="D26" s="4"/>
      <c r="E26" s="31"/>
      <c r="G26" s="28"/>
      <c r="I26">
        <f t="shared" si="10"/>
        <v>7</v>
      </c>
      <c r="J26" s="29">
        <f t="shared" si="1"/>
        <v>-1016.8825996354543</v>
      </c>
      <c r="K26" s="29">
        <f t="shared" si="2"/>
        <v>-530.86384304783098</v>
      </c>
      <c r="L26" s="29">
        <f t="shared" si="3"/>
        <v>-1547.7464426832853</v>
      </c>
      <c r="N26" s="29">
        <f t="shared" si="4"/>
        <v>-923.67164304250741</v>
      </c>
      <c r="O26" s="29">
        <f t="shared" si="5"/>
        <v>-561.22877019496832</v>
      </c>
      <c r="P26" s="29">
        <f t="shared" si="6"/>
        <v>-1484.9004132374757</v>
      </c>
      <c r="R26" s="29">
        <f t="shared" si="7"/>
        <v>-877.11165920045028</v>
      </c>
      <c r="S26" s="29">
        <f t="shared" si="8"/>
        <v>-576.89150329607537</v>
      </c>
      <c r="T26" s="29">
        <f t="shared" si="9"/>
        <v>-1454.0031624965256</v>
      </c>
    </row>
    <row r="27" spans="1:20">
      <c r="B27" s="30"/>
      <c r="D27" s="4"/>
      <c r="E27" s="31"/>
      <c r="G27" s="28"/>
      <c r="I27">
        <f t="shared" si="10"/>
        <v>8</v>
      </c>
      <c r="J27" s="29">
        <f t="shared" si="1"/>
        <v>-1014.4494736881518</v>
      </c>
      <c r="K27" s="29">
        <f t="shared" si="2"/>
        <v>-533.29696899513351</v>
      </c>
      <c r="L27" s="29">
        <f t="shared" si="3"/>
        <v>-1547.7464426832853</v>
      </c>
      <c r="N27" s="29">
        <f t="shared" si="4"/>
        <v>-921.33318983336153</v>
      </c>
      <c r="O27" s="29">
        <f t="shared" si="5"/>
        <v>-563.5672234041142</v>
      </c>
      <c r="P27" s="29">
        <f t="shared" si="6"/>
        <v>-1484.9004132374757</v>
      </c>
      <c r="R27" s="29">
        <f t="shared" si="7"/>
        <v>-874.8281303332368</v>
      </c>
      <c r="S27" s="29">
        <f t="shared" si="8"/>
        <v>-579.17503216328885</v>
      </c>
      <c r="T27" s="29">
        <f t="shared" si="9"/>
        <v>-1454.0031624965256</v>
      </c>
    </row>
    <row r="28" spans="1:20">
      <c r="A28" t="s">
        <v>97</v>
      </c>
      <c r="I28">
        <f t="shared" si="10"/>
        <v>9</v>
      </c>
      <c r="J28" s="29">
        <f t="shared" si="1"/>
        <v>-1012.0051959135908</v>
      </c>
      <c r="K28" s="29">
        <f t="shared" si="2"/>
        <v>-535.7412467696945</v>
      </c>
      <c r="L28" s="29">
        <f t="shared" si="3"/>
        <v>-1547.7464426832853</v>
      </c>
      <c r="N28" s="29">
        <f t="shared" si="4"/>
        <v>-918.9849930691779</v>
      </c>
      <c r="O28" s="29">
        <f t="shared" si="5"/>
        <v>-565.91542016829783</v>
      </c>
      <c r="P28" s="29">
        <f t="shared" si="6"/>
        <v>-1484.9004132374757</v>
      </c>
      <c r="R28" s="29">
        <f t="shared" si="7"/>
        <v>-872.53556249759038</v>
      </c>
      <c r="S28" s="29">
        <f t="shared" si="8"/>
        <v>-581.46759999893527</v>
      </c>
      <c r="T28" s="29">
        <f t="shared" si="9"/>
        <v>-1454.0031624965256</v>
      </c>
    </row>
    <row r="29" spans="1:20">
      <c r="A29" t="s">
        <v>98</v>
      </c>
      <c r="I29">
        <f t="shared" si="10"/>
        <v>10</v>
      </c>
      <c r="J29" s="29">
        <f t="shared" si="1"/>
        <v>-1009.5497151992297</v>
      </c>
      <c r="K29" s="29">
        <f t="shared" si="2"/>
        <v>-538.1967274840556</v>
      </c>
      <c r="L29" s="29">
        <f t="shared" si="3"/>
        <v>-1547.7464426832853</v>
      </c>
      <c r="N29" s="29">
        <f t="shared" si="4"/>
        <v>-916.62701215180994</v>
      </c>
      <c r="O29" s="29">
        <f t="shared" si="5"/>
        <v>-568.2734010856658</v>
      </c>
      <c r="P29" s="29">
        <f t="shared" si="6"/>
        <v>-1484.9004132374757</v>
      </c>
      <c r="R29" s="29">
        <f t="shared" si="7"/>
        <v>-870.23391991426138</v>
      </c>
      <c r="S29" s="29">
        <f t="shared" si="8"/>
        <v>-583.76924258226427</v>
      </c>
      <c r="T29" s="29">
        <f t="shared" si="9"/>
        <v>-1454.0031624965256</v>
      </c>
    </row>
    <row r="30" spans="1:20">
      <c r="I30">
        <f t="shared" si="10"/>
        <v>11</v>
      </c>
      <c r="J30" s="29">
        <f t="shared" si="1"/>
        <v>-1007.0829801982611</v>
      </c>
      <c r="K30" s="29">
        <f t="shared" si="2"/>
        <v>-540.66346248502418</v>
      </c>
      <c r="L30" s="29">
        <f t="shared" si="3"/>
        <v>-1547.7464426832853</v>
      </c>
      <c r="N30" s="29">
        <f t="shared" si="4"/>
        <v>-914.25920631395286</v>
      </c>
      <c r="O30" s="29">
        <f t="shared" si="5"/>
        <v>-570.64120692352287</v>
      </c>
      <c r="P30" s="29">
        <f t="shared" si="6"/>
        <v>-1484.9004132374757</v>
      </c>
      <c r="R30" s="29">
        <f t="shared" si="7"/>
        <v>-867.92316666237332</v>
      </c>
      <c r="S30" s="29">
        <f t="shared" si="8"/>
        <v>-586.07999583415233</v>
      </c>
      <c r="T30" s="29">
        <f t="shared" si="9"/>
        <v>-1454.0031624965256</v>
      </c>
    </row>
    <row r="31" spans="1:20">
      <c r="A31" t="s">
        <v>86</v>
      </c>
      <c r="B31" t="s">
        <v>99</v>
      </c>
      <c r="H31" t="s">
        <v>100</v>
      </c>
      <c r="I31">
        <f t="shared" si="10"/>
        <v>12</v>
      </c>
      <c r="J31" s="29">
        <f t="shared" si="1"/>
        <v>-1004.6049393285382</v>
      </c>
      <c r="K31" s="29">
        <f t="shared" si="2"/>
        <v>-543.1415033547471</v>
      </c>
      <c r="L31" s="29">
        <f t="shared" si="3"/>
        <v>-1547.7464426832853</v>
      </c>
      <c r="N31" s="29">
        <f t="shared" si="4"/>
        <v>-911.88153461843831</v>
      </c>
      <c r="O31" s="29">
        <f t="shared" si="5"/>
        <v>-573.01887861903742</v>
      </c>
      <c r="P31" s="29">
        <f t="shared" si="6"/>
        <v>-1484.9004132374757</v>
      </c>
      <c r="R31" s="29">
        <f t="shared" si="7"/>
        <v>-865.60326667886318</v>
      </c>
      <c r="S31" s="29">
        <f t="shared" si="8"/>
        <v>-588.39989581766247</v>
      </c>
      <c r="T31" s="29">
        <f t="shared" si="9"/>
        <v>-1454.0031624965256</v>
      </c>
    </row>
    <row r="32" spans="1:20">
      <c r="A32" t="s">
        <v>87</v>
      </c>
      <c r="B32" t="s">
        <v>101</v>
      </c>
      <c r="H32" t="s">
        <v>102</v>
      </c>
      <c r="I32">
        <v>60</v>
      </c>
      <c r="J32" s="29">
        <f t="shared" si="1"/>
        <v>-871.29054739674973</v>
      </c>
      <c r="K32" s="29">
        <f t="shared" si="2"/>
        <v>-676.45589528653556</v>
      </c>
      <c r="L32" s="29">
        <f t="shared" si="3"/>
        <v>-1547.7464426832853</v>
      </c>
      <c r="N32" s="29">
        <f t="shared" si="4"/>
        <v>-785.3043259896175</v>
      </c>
      <c r="O32" s="29">
        <f t="shared" si="5"/>
        <v>-699.59608724785824</v>
      </c>
      <c r="P32" s="29">
        <f t="shared" si="6"/>
        <v>-1484.9004132374757</v>
      </c>
      <c r="R32" s="29">
        <f t="shared" si="7"/>
        <v>-742.74763324943638</v>
      </c>
      <c r="S32" s="29">
        <f t="shared" si="8"/>
        <v>-711.25552924708927</v>
      </c>
      <c r="T32" s="29">
        <f t="shared" si="9"/>
        <v>-1454.0031624965256</v>
      </c>
    </row>
    <row r="33" spans="1:20">
      <c r="A33" t="s">
        <v>90</v>
      </c>
      <c r="B33" t="s">
        <v>103</v>
      </c>
      <c r="H33" t="s">
        <v>104</v>
      </c>
      <c r="I33">
        <v>120</v>
      </c>
      <c r="J33" s="29">
        <f t="shared" si="1"/>
        <v>-657.73086930042928</v>
      </c>
      <c r="K33" s="29">
        <f t="shared" si="2"/>
        <v>-890.01557338285602</v>
      </c>
      <c r="L33" s="29">
        <f t="shared" si="3"/>
        <v>-1547.7464426832853</v>
      </c>
      <c r="N33" s="29">
        <f t="shared" si="4"/>
        <v>-587.06770322083503</v>
      </c>
      <c r="O33" s="29">
        <f t="shared" si="5"/>
        <v>-897.8327100166407</v>
      </c>
      <c r="P33" s="29">
        <f t="shared" si="6"/>
        <v>-1484.9004132374757</v>
      </c>
      <c r="R33" s="29">
        <f t="shared" si="7"/>
        <v>-552.50054686861017</v>
      </c>
      <c r="S33" s="29">
        <f t="shared" si="8"/>
        <v>-901.50261562791547</v>
      </c>
      <c r="T33" s="29">
        <f t="shared" si="9"/>
        <v>-1454.0031624965256</v>
      </c>
    </row>
    <row r="34" spans="1:20">
      <c r="A34" t="s">
        <v>105</v>
      </c>
      <c r="B34" t="s">
        <v>106</v>
      </c>
      <c r="H34" t="s">
        <v>107</v>
      </c>
      <c r="I34">
        <v>180</v>
      </c>
      <c r="J34" s="29">
        <f t="shared" si="1"/>
        <v>-376.74959516748083</v>
      </c>
      <c r="K34" s="29">
        <f t="shared" si="2"/>
        <v>-1170.9968475158043</v>
      </c>
      <c r="L34" s="29">
        <f t="shared" si="3"/>
        <v>-1547.7464426832853</v>
      </c>
      <c r="N34" s="29">
        <f t="shared" si="4"/>
        <v>-332.65901299329101</v>
      </c>
      <c r="O34" s="29">
        <f t="shared" si="5"/>
        <v>-1152.2414002441847</v>
      </c>
      <c r="P34" s="29">
        <f t="shared" si="6"/>
        <v>-1484.9004132374757</v>
      </c>
      <c r="R34" s="29">
        <f t="shared" si="7"/>
        <v>-311.36604747222918</v>
      </c>
      <c r="S34" s="29">
        <f t="shared" si="8"/>
        <v>-1142.6371150242965</v>
      </c>
      <c r="T34" s="29">
        <f t="shared" si="9"/>
        <v>-1454.0031624965256</v>
      </c>
    </row>
    <row r="35" spans="1:20">
      <c r="H35" t="s">
        <v>108</v>
      </c>
      <c r="I35">
        <v>240</v>
      </c>
      <c r="J35" s="29">
        <f t="shared" si="1"/>
        <v>-7.0614727787294154</v>
      </c>
      <c r="K35" s="29">
        <f t="shared" si="2"/>
        <v>-1540.6849699045558</v>
      </c>
      <c r="L35" s="29">
        <f t="shared" si="3"/>
        <v>-1547.7464426832853</v>
      </c>
      <c r="N35" s="29">
        <f t="shared" si="4"/>
        <v>-6.1614125030600313</v>
      </c>
      <c r="O35" s="29">
        <f t="shared" si="5"/>
        <v>-1478.7390007344156</v>
      </c>
      <c r="P35" s="29">
        <f t="shared" si="6"/>
        <v>-1484.9004132374757</v>
      </c>
      <c r="R35" s="29">
        <f t="shared" si="7"/>
        <v>-5.7327371005255321</v>
      </c>
      <c r="S35" s="29">
        <f t="shared" si="8"/>
        <v>-1448.2704253960001</v>
      </c>
      <c r="T35" s="29">
        <f t="shared" si="9"/>
        <v>-1454.0031624965256</v>
      </c>
    </row>
    <row r="36" spans="1:20">
      <c r="K36" t="s">
        <v>109</v>
      </c>
      <c r="L36" s="29">
        <f>+-1*L35*Term*12</f>
        <v>371459.14624398842</v>
      </c>
      <c r="O36" t="s">
        <v>109</v>
      </c>
      <c r="P36" s="29">
        <f>-1*P35*Term*12</f>
        <v>356376.09917699418</v>
      </c>
      <c r="S36" t="s">
        <v>109</v>
      </c>
      <c r="T36" s="29">
        <f>-1*T35*Term*12</f>
        <v>348960.7589991662</v>
      </c>
    </row>
    <row r="37" spans="1:20">
      <c r="A37" t="s">
        <v>110</v>
      </c>
    </row>
    <row r="38" spans="1:20">
      <c r="A38" t="s">
        <v>111</v>
      </c>
    </row>
    <row r="40" spans="1:20">
      <c r="A40" t="s">
        <v>112</v>
      </c>
    </row>
  </sheetData>
  <sheetProtection sheet="1" objects="1" scenarios="1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12"/>
  <sheetViews>
    <sheetView workbookViewId="0">
      <selection activeCell="D3" sqref="D3:D6"/>
    </sheetView>
  </sheetViews>
  <sheetFormatPr defaultColWidth="11.5703125" defaultRowHeight="12.75"/>
  <cols>
    <col min="1" max="1" width="15.7109375" customWidth="1"/>
    <col min="2" max="2" width="14.85546875" customWidth="1"/>
    <col min="3" max="3" width="15.7109375" customWidth="1"/>
    <col min="4" max="4" width="16.7109375" customWidth="1"/>
    <col min="5" max="5" width="14.28515625" customWidth="1"/>
    <col min="8" max="11" width="11.85546875" customWidth="1"/>
    <col min="12" max="12" width="14.28515625" customWidth="1"/>
    <col min="13" max="13" width="15.28515625" customWidth="1"/>
    <col min="14" max="27" width="13.42578125" customWidth="1"/>
  </cols>
  <sheetData>
    <row r="1" spans="1:40">
      <c r="A1" t="s">
        <v>114</v>
      </c>
      <c r="B1" s="32">
        <v>42095</v>
      </c>
    </row>
    <row r="2" spans="1:40">
      <c r="B2" t="s">
        <v>115</v>
      </c>
      <c r="C2" t="s">
        <v>116</v>
      </c>
      <c r="D2" t="s">
        <v>117</v>
      </c>
      <c r="E2" t="s">
        <v>118</v>
      </c>
      <c r="F2">
        <f>Year_of_Departure</f>
        <v>2014</v>
      </c>
      <c r="G2">
        <f t="shared" ref="G2:AN2" si="0">F2+1</f>
        <v>2015</v>
      </c>
      <c r="H2">
        <f t="shared" si="0"/>
        <v>2016</v>
      </c>
      <c r="I2">
        <f t="shared" si="0"/>
        <v>2017</v>
      </c>
      <c r="J2">
        <f t="shared" si="0"/>
        <v>2018</v>
      </c>
      <c r="K2">
        <f t="shared" si="0"/>
        <v>2019</v>
      </c>
      <c r="L2">
        <f t="shared" si="0"/>
        <v>2020</v>
      </c>
      <c r="M2">
        <f t="shared" si="0"/>
        <v>2021</v>
      </c>
      <c r="N2">
        <f t="shared" si="0"/>
        <v>2022</v>
      </c>
      <c r="O2">
        <f t="shared" si="0"/>
        <v>2023</v>
      </c>
      <c r="P2">
        <f t="shared" si="0"/>
        <v>2024</v>
      </c>
      <c r="Q2">
        <f t="shared" si="0"/>
        <v>2025</v>
      </c>
      <c r="R2">
        <f t="shared" si="0"/>
        <v>2026</v>
      </c>
      <c r="S2">
        <f t="shared" si="0"/>
        <v>2027</v>
      </c>
      <c r="T2">
        <f t="shared" si="0"/>
        <v>2028</v>
      </c>
      <c r="U2">
        <f t="shared" si="0"/>
        <v>2029</v>
      </c>
      <c r="V2">
        <f t="shared" si="0"/>
        <v>2030</v>
      </c>
      <c r="W2">
        <f t="shared" si="0"/>
        <v>2031</v>
      </c>
      <c r="X2">
        <f t="shared" si="0"/>
        <v>2032</v>
      </c>
      <c r="Y2">
        <f t="shared" si="0"/>
        <v>2033</v>
      </c>
      <c r="Z2">
        <f t="shared" si="0"/>
        <v>2034</v>
      </c>
      <c r="AA2">
        <f t="shared" si="0"/>
        <v>2035</v>
      </c>
      <c r="AB2">
        <f t="shared" si="0"/>
        <v>2036</v>
      </c>
      <c r="AC2">
        <f t="shared" si="0"/>
        <v>2037</v>
      </c>
      <c r="AD2">
        <f t="shared" si="0"/>
        <v>2038</v>
      </c>
      <c r="AE2">
        <f t="shared" si="0"/>
        <v>2039</v>
      </c>
      <c r="AF2">
        <f t="shared" si="0"/>
        <v>2040</v>
      </c>
      <c r="AG2">
        <f t="shared" si="0"/>
        <v>2041</v>
      </c>
      <c r="AH2">
        <f t="shared" si="0"/>
        <v>2042</v>
      </c>
      <c r="AI2">
        <f t="shared" si="0"/>
        <v>2043</v>
      </c>
      <c r="AJ2">
        <f t="shared" si="0"/>
        <v>2044</v>
      </c>
      <c r="AK2">
        <f t="shared" si="0"/>
        <v>2045</v>
      </c>
      <c r="AL2">
        <f t="shared" si="0"/>
        <v>2046</v>
      </c>
      <c r="AM2">
        <f t="shared" si="0"/>
        <v>2047</v>
      </c>
      <c r="AN2">
        <f t="shared" si="0"/>
        <v>2048</v>
      </c>
    </row>
    <row r="3" spans="1:40">
      <c r="A3" t="s">
        <v>120</v>
      </c>
      <c r="B3" s="38">
        <v>0</v>
      </c>
      <c r="C3" s="31">
        <f>APR_on_Inv</f>
        <v>0.06</v>
      </c>
      <c r="D3" s="40">
        <v>0</v>
      </c>
      <c r="E3">
        <f ca="1">Year_of_Departure-This_Year</f>
        <v>-3</v>
      </c>
      <c r="F3" s="33">
        <f ca="1">-1*FV(C3/12,E3*12,D3/12,B3)</f>
        <v>0</v>
      </c>
      <c r="G3" s="33">
        <f t="shared" ref="G3:AN3" ca="1" si="1">-1*FV($C3/12,12,0,F3)</f>
        <v>0</v>
      </c>
      <c r="H3" s="33">
        <f t="shared" ca="1" si="1"/>
        <v>0</v>
      </c>
      <c r="I3" s="33">
        <f t="shared" ca="1" si="1"/>
        <v>0</v>
      </c>
      <c r="J3" s="33">
        <f t="shared" ca="1" si="1"/>
        <v>0</v>
      </c>
      <c r="K3" s="33">
        <f t="shared" ca="1" si="1"/>
        <v>0</v>
      </c>
      <c r="L3" s="33">
        <f t="shared" ca="1" si="1"/>
        <v>0</v>
      </c>
      <c r="M3" s="33">
        <f t="shared" ca="1" si="1"/>
        <v>0</v>
      </c>
      <c r="N3" s="33">
        <f t="shared" ca="1" si="1"/>
        <v>0</v>
      </c>
      <c r="O3" s="33">
        <f t="shared" ca="1" si="1"/>
        <v>0</v>
      </c>
      <c r="P3" s="33">
        <f t="shared" ca="1" si="1"/>
        <v>0</v>
      </c>
      <c r="Q3" s="33">
        <f t="shared" ca="1" si="1"/>
        <v>0</v>
      </c>
      <c r="R3" s="33">
        <f t="shared" ca="1" si="1"/>
        <v>0</v>
      </c>
      <c r="S3" s="33">
        <f t="shared" ca="1" si="1"/>
        <v>0</v>
      </c>
      <c r="T3" s="33">
        <f t="shared" ca="1" si="1"/>
        <v>0</v>
      </c>
      <c r="U3" s="33">
        <f t="shared" ca="1" si="1"/>
        <v>0</v>
      </c>
      <c r="V3" s="33">
        <f t="shared" ca="1" si="1"/>
        <v>0</v>
      </c>
      <c r="W3" s="33">
        <f t="shared" ca="1" si="1"/>
        <v>0</v>
      </c>
      <c r="X3" s="33">
        <f t="shared" ca="1" si="1"/>
        <v>0</v>
      </c>
      <c r="Y3" s="33">
        <f t="shared" ca="1" si="1"/>
        <v>0</v>
      </c>
      <c r="Z3" s="33">
        <f t="shared" ca="1" si="1"/>
        <v>0</v>
      </c>
      <c r="AA3" s="33">
        <f t="shared" ca="1" si="1"/>
        <v>0</v>
      </c>
      <c r="AB3" s="33">
        <f t="shared" ca="1" si="1"/>
        <v>0</v>
      </c>
      <c r="AC3" s="33">
        <f t="shared" ca="1" si="1"/>
        <v>0</v>
      </c>
      <c r="AD3" s="33">
        <f t="shared" ca="1" si="1"/>
        <v>0</v>
      </c>
      <c r="AE3" s="33">
        <f t="shared" ca="1" si="1"/>
        <v>0</v>
      </c>
      <c r="AF3" s="33">
        <f t="shared" ca="1" si="1"/>
        <v>0</v>
      </c>
      <c r="AG3" s="33">
        <f t="shared" ca="1" si="1"/>
        <v>0</v>
      </c>
      <c r="AH3" s="33">
        <f t="shared" ca="1" si="1"/>
        <v>0</v>
      </c>
      <c r="AI3" s="33">
        <f t="shared" ca="1" si="1"/>
        <v>0</v>
      </c>
      <c r="AJ3" s="33">
        <f t="shared" ca="1" si="1"/>
        <v>0</v>
      </c>
      <c r="AK3" s="33">
        <f t="shared" ca="1" si="1"/>
        <v>0</v>
      </c>
      <c r="AL3" s="33">
        <f t="shared" ca="1" si="1"/>
        <v>0</v>
      </c>
      <c r="AM3" s="33">
        <f t="shared" ca="1" si="1"/>
        <v>0</v>
      </c>
      <c r="AN3" s="33">
        <f t="shared" ca="1" si="1"/>
        <v>0</v>
      </c>
    </row>
    <row r="4" spans="1:40">
      <c r="A4" t="s">
        <v>121</v>
      </c>
      <c r="B4" s="38">
        <v>0</v>
      </c>
      <c r="C4" s="31">
        <f>APR_on_Inv</f>
        <v>0.06</v>
      </c>
      <c r="D4" s="40">
        <v>0</v>
      </c>
      <c r="E4">
        <f ca="1">Year_of_Departure-This_Year</f>
        <v>-3</v>
      </c>
      <c r="F4" s="33">
        <f ca="1">-1*FV(C4/12,E4*12,D4/12,B4)</f>
        <v>0</v>
      </c>
      <c r="G4" s="33">
        <f t="shared" ref="G4:AN4" ca="1" si="2">-1*FV($C4/12,12,0,F4)</f>
        <v>0</v>
      </c>
      <c r="H4" s="33">
        <f t="shared" ca="1" si="2"/>
        <v>0</v>
      </c>
      <c r="I4" s="33">
        <f t="shared" ca="1" si="2"/>
        <v>0</v>
      </c>
      <c r="J4" s="33">
        <f t="shared" ca="1" si="2"/>
        <v>0</v>
      </c>
      <c r="K4" s="33">
        <f t="shared" ca="1" si="2"/>
        <v>0</v>
      </c>
      <c r="L4" s="33">
        <f t="shared" ca="1" si="2"/>
        <v>0</v>
      </c>
      <c r="M4" s="33">
        <f t="shared" ca="1" si="2"/>
        <v>0</v>
      </c>
      <c r="N4" s="33">
        <f t="shared" ca="1" si="2"/>
        <v>0</v>
      </c>
      <c r="O4" s="33">
        <f t="shared" ca="1" si="2"/>
        <v>0</v>
      </c>
      <c r="P4" s="33">
        <f t="shared" ca="1" si="2"/>
        <v>0</v>
      </c>
      <c r="Q4" s="33">
        <f t="shared" ca="1" si="2"/>
        <v>0</v>
      </c>
      <c r="R4" s="33">
        <f t="shared" ca="1" si="2"/>
        <v>0</v>
      </c>
      <c r="S4" s="33">
        <f t="shared" ca="1" si="2"/>
        <v>0</v>
      </c>
      <c r="T4" s="33">
        <f t="shared" ca="1" si="2"/>
        <v>0</v>
      </c>
      <c r="U4" s="33">
        <f t="shared" ca="1" si="2"/>
        <v>0</v>
      </c>
      <c r="V4" s="33">
        <f t="shared" ca="1" si="2"/>
        <v>0</v>
      </c>
      <c r="W4" s="33">
        <f t="shared" ca="1" si="2"/>
        <v>0</v>
      </c>
      <c r="X4" s="33">
        <f t="shared" ca="1" si="2"/>
        <v>0</v>
      </c>
      <c r="Y4" s="33">
        <f t="shared" ca="1" si="2"/>
        <v>0</v>
      </c>
      <c r="Z4" s="33">
        <f t="shared" ca="1" si="2"/>
        <v>0</v>
      </c>
      <c r="AA4" s="33">
        <f t="shared" ca="1" si="2"/>
        <v>0</v>
      </c>
      <c r="AB4" s="33">
        <f t="shared" ca="1" si="2"/>
        <v>0</v>
      </c>
      <c r="AC4" s="33">
        <f t="shared" ca="1" si="2"/>
        <v>0</v>
      </c>
      <c r="AD4" s="33">
        <f t="shared" ca="1" si="2"/>
        <v>0</v>
      </c>
      <c r="AE4" s="33">
        <f t="shared" ca="1" si="2"/>
        <v>0</v>
      </c>
      <c r="AF4" s="33">
        <f t="shared" ca="1" si="2"/>
        <v>0</v>
      </c>
      <c r="AG4" s="33">
        <f t="shared" ca="1" si="2"/>
        <v>0</v>
      </c>
      <c r="AH4" s="33">
        <f t="shared" ca="1" si="2"/>
        <v>0</v>
      </c>
      <c r="AI4" s="33">
        <f t="shared" ca="1" si="2"/>
        <v>0</v>
      </c>
      <c r="AJ4" s="33">
        <f t="shared" ca="1" si="2"/>
        <v>0</v>
      </c>
      <c r="AK4" s="33">
        <f t="shared" ca="1" si="2"/>
        <v>0</v>
      </c>
      <c r="AL4" s="33">
        <f t="shared" ca="1" si="2"/>
        <v>0</v>
      </c>
      <c r="AM4" s="33">
        <f t="shared" ca="1" si="2"/>
        <v>0</v>
      </c>
      <c r="AN4" s="33">
        <f t="shared" ca="1" si="2"/>
        <v>0</v>
      </c>
    </row>
    <row r="5" spans="1:40">
      <c r="A5" t="s">
        <v>122</v>
      </c>
      <c r="B5" s="38">
        <v>0</v>
      </c>
      <c r="C5" s="31">
        <f>APR_on_Inv</f>
        <v>0.06</v>
      </c>
      <c r="D5" s="40">
        <v>0</v>
      </c>
      <c r="E5">
        <f ca="1">Year_of_Departure-This_Year</f>
        <v>-3</v>
      </c>
      <c r="F5" s="33">
        <f ca="1">-1*FV(C5/12,E5*12,D5/12,B5)</f>
        <v>0</v>
      </c>
      <c r="G5" s="33">
        <f t="shared" ref="G5:AN5" ca="1" si="3">-1*FV($C5/12,12,0,F5)</f>
        <v>0</v>
      </c>
      <c r="H5" s="33">
        <f t="shared" ca="1" si="3"/>
        <v>0</v>
      </c>
      <c r="I5" s="33">
        <f t="shared" ca="1" si="3"/>
        <v>0</v>
      </c>
      <c r="J5" s="33">
        <f t="shared" ca="1" si="3"/>
        <v>0</v>
      </c>
      <c r="K5" s="33">
        <f t="shared" ca="1" si="3"/>
        <v>0</v>
      </c>
      <c r="L5" s="33">
        <f t="shared" ca="1" si="3"/>
        <v>0</v>
      </c>
      <c r="M5" s="33">
        <f t="shared" ca="1" si="3"/>
        <v>0</v>
      </c>
      <c r="N5" s="33">
        <f t="shared" ca="1" si="3"/>
        <v>0</v>
      </c>
      <c r="O5" s="33">
        <f t="shared" ca="1" si="3"/>
        <v>0</v>
      </c>
      <c r="P5" s="33">
        <f t="shared" ca="1" si="3"/>
        <v>0</v>
      </c>
      <c r="Q5" s="33">
        <f t="shared" ca="1" si="3"/>
        <v>0</v>
      </c>
      <c r="R5" s="33">
        <f t="shared" ca="1" si="3"/>
        <v>0</v>
      </c>
      <c r="S5" s="33">
        <f t="shared" ca="1" si="3"/>
        <v>0</v>
      </c>
      <c r="T5" s="33">
        <f t="shared" ca="1" si="3"/>
        <v>0</v>
      </c>
      <c r="U5" s="33">
        <f t="shared" ca="1" si="3"/>
        <v>0</v>
      </c>
      <c r="V5" s="33">
        <f t="shared" ca="1" si="3"/>
        <v>0</v>
      </c>
      <c r="W5" s="33">
        <f t="shared" ca="1" si="3"/>
        <v>0</v>
      </c>
      <c r="X5" s="33">
        <f t="shared" ca="1" si="3"/>
        <v>0</v>
      </c>
      <c r="Y5" s="33">
        <f t="shared" ca="1" si="3"/>
        <v>0</v>
      </c>
      <c r="Z5" s="33">
        <f t="shared" ca="1" si="3"/>
        <v>0</v>
      </c>
      <c r="AA5" s="33">
        <f t="shared" ca="1" si="3"/>
        <v>0</v>
      </c>
      <c r="AB5" s="33">
        <f t="shared" ca="1" si="3"/>
        <v>0</v>
      </c>
      <c r="AC5" s="33">
        <f t="shared" ca="1" si="3"/>
        <v>0</v>
      </c>
      <c r="AD5" s="33">
        <f t="shared" ca="1" si="3"/>
        <v>0</v>
      </c>
      <c r="AE5" s="33">
        <f t="shared" ca="1" si="3"/>
        <v>0</v>
      </c>
      <c r="AF5" s="33">
        <f t="shared" ca="1" si="3"/>
        <v>0</v>
      </c>
      <c r="AG5" s="33">
        <f t="shared" ca="1" si="3"/>
        <v>0</v>
      </c>
      <c r="AH5" s="33">
        <f t="shared" ca="1" si="3"/>
        <v>0</v>
      </c>
      <c r="AI5" s="33">
        <f t="shared" ca="1" si="3"/>
        <v>0</v>
      </c>
      <c r="AJ5" s="33">
        <f t="shared" ca="1" si="3"/>
        <v>0</v>
      </c>
      <c r="AK5" s="33">
        <f t="shared" ca="1" si="3"/>
        <v>0</v>
      </c>
      <c r="AL5" s="33">
        <f t="shared" ca="1" si="3"/>
        <v>0</v>
      </c>
      <c r="AM5" s="33">
        <f t="shared" ca="1" si="3"/>
        <v>0</v>
      </c>
      <c r="AN5" s="33">
        <f t="shared" ca="1" si="3"/>
        <v>0</v>
      </c>
    </row>
    <row r="6" spans="1:40">
      <c r="A6" t="s">
        <v>123</v>
      </c>
      <c r="B6" s="39">
        <v>0</v>
      </c>
      <c r="C6" s="35">
        <f>APR_on_Inv</f>
        <v>0.06</v>
      </c>
      <c r="D6" s="41">
        <v>0</v>
      </c>
      <c r="E6" s="36">
        <f ca="1">Year_of_Departure-This_Year</f>
        <v>-3</v>
      </c>
      <c r="F6" s="34">
        <f ca="1">-1*FV(C6/12,E6*12,D6/12,B6)</f>
        <v>0</v>
      </c>
      <c r="G6" s="34">
        <f t="shared" ref="G6:AN6" ca="1" si="4">-1*FV($C6/12,12,0,F6)</f>
        <v>0</v>
      </c>
      <c r="H6" s="34">
        <f t="shared" ca="1" si="4"/>
        <v>0</v>
      </c>
      <c r="I6" s="34">
        <f t="shared" ca="1" si="4"/>
        <v>0</v>
      </c>
      <c r="J6" s="34">
        <f t="shared" ca="1" si="4"/>
        <v>0</v>
      </c>
      <c r="K6" s="34">
        <f t="shared" ca="1" si="4"/>
        <v>0</v>
      </c>
      <c r="L6" s="34">
        <f t="shared" ca="1" si="4"/>
        <v>0</v>
      </c>
      <c r="M6" s="34">
        <f t="shared" ca="1" si="4"/>
        <v>0</v>
      </c>
      <c r="N6" s="34">
        <f t="shared" ca="1" si="4"/>
        <v>0</v>
      </c>
      <c r="O6" s="34">
        <f t="shared" ca="1" si="4"/>
        <v>0</v>
      </c>
      <c r="P6" s="34">
        <f t="shared" ca="1" si="4"/>
        <v>0</v>
      </c>
      <c r="Q6" s="34">
        <f t="shared" ca="1" si="4"/>
        <v>0</v>
      </c>
      <c r="R6" s="34">
        <f t="shared" ca="1" si="4"/>
        <v>0</v>
      </c>
      <c r="S6" s="34">
        <f t="shared" ca="1" si="4"/>
        <v>0</v>
      </c>
      <c r="T6" s="34">
        <f t="shared" ca="1" si="4"/>
        <v>0</v>
      </c>
      <c r="U6" s="34">
        <f t="shared" ca="1" si="4"/>
        <v>0</v>
      </c>
      <c r="V6" s="34">
        <f t="shared" ca="1" si="4"/>
        <v>0</v>
      </c>
      <c r="W6" s="34">
        <f t="shared" ca="1" si="4"/>
        <v>0</v>
      </c>
      <c r="X6" s="34">
        <f t="shared" ca="1" si="4"/>
        <v>0</v>
      </c>
      <c r="Y6" s="34">
        <f t="shared" ca="1" si="4"/>
        <v>0</v>
      </c>
      <c r="Z6" s="34">
        <f t="shared" ca="1" si="4"/>
        <v>0</v>
      </c>
      <c r="AA6" s="34">
        <f t="shared" ca="1" si="4"/>
        <v>0</v>
      </c>
      <c r="AB6" s="34">
        <f t="shared" ca="1" si="4"/>
        <v>0</v>
      </c>
      <c r="AC6" s="34">
        <f t="shared" ca="1" si="4"/>
        <v>0</v>
      </c>
      <c r="AD6" s="34">
        <f t="shared" ca="1" si="4"/>
        <v>0</v>
      </c>
      <c r="AE6" s="34">
        <f t="shared" ca="1" si="4"/>
        <v>0</v>
      </c>
      <c r="AF6" s="34">
        <f t="shared" ca="1" si="4"/>
        <v>0</v>
      </c>
      <c r="AG6" s="34">
        <f t="shared" ca="1" si="4"/>
        <v>0</v>
      </c>
      <c r="AH6" s="34">
        <f t="shared" ca="1" si="4"/>
        <v>0</v>
      </c>
      <c r="AI6" s="34">
        <f t="shared" ca="1" si="4"/>
        <v>0</v>
      </c>
      <c r="AJ6" s="34">
        <f t="shared" ca="1" si="4"/>
        <v>0</v>
      </c>
      <c r="AK6" s="34">
        <f t="shared" ca="1" si="4"/>
        <v>0</v>
      </c>
      <c r="AL6" s="34">
        <f t="shared" ca="1" si="4"/>
        <v>0</v>
      </c>
      <c r="AM6" s="34">
        <f t="shared" ca="1" si="4"/>
        <v>0</v>
      </c>
      <c r="AN6" s="34">
        <f t="shared" ca="1" si="4"/>
        <v>0</v>
      </c>
    </row>
    <row r="7" spans="1:40">
      <c r="A7" t="s">
        <v>114</v>
      </c>
      <c r="B7" s="33">
        <f>SUM(B3:B6)</f>
        <v>0</v>
      </c>
      <c r="F7" s="33">
        <f t="shared" ref="F7:AN7" ca="1" si="5">SUM(F3:F6)</f>
        <v>0</v>
      </c>
      <c r="G7" s="33">
        <f t="shared" ca="1" si="5"/>
        <v>0</v>
      </c>
      <c r="H7" s="33">
        <f t="shared" ca="1" si="5"/>
        <v>0</v>
      </c>
      <c r="I7" s="33">
        <f t="shared" ca="1" si="5"/>
        <v>0</v>
      </c>
      <c r="J7" s="33">
        <f t="shared" ca="1" si="5"/>
        <v>0</v>
      </c>
      <c r="K7" s="33">
        <f t="shared" ca="1" si="5"/>
        <v>0</v>
      </c>
      <c r="L7" s="33">
        <f t="shared" ca="1" si="5"/>
        <v>0</v>
      </c>
      <c r="M7" s="33">
        <f t="shared" ca="1" si="5"/>
        <v>0</v>
      </c>
      <c r="N7" s="33">
        <f t="shared" ca="1" si="5"/>
        <v>0</v>
      </c>
      <c r="O7" s="33">
        <f t="shared" ca="1" si="5"/>
        <v>0</v>
      </c>
      <c r="P7" s="33">
        <f t="shared" ca="1" si="5"/>
        <v>0</v>
      </c>
      <c r="Q7" s="33">
        <f t="shared" ca="1" si="5"/>
        <v>0</v>
      </c>
      <c r="R7" s="33">
        <f t="shared" ca="1" si="5"/>
        <v>0</v>
      </c>
      <c r="S7" s="33">
        <f t="shared" ca="1" si="5"/>
        <v>0</v>
      </c>
      <c r="T7" s="33">
        <f t="shared" ca="1" si="5"/>
        <v>0</v>
      </c>
      <c r="U7" s="33">
        <f t="shared" ca="1" si="5"/>
        <v>0</v>
      </c>
      <c r="V7" s="33">
        <f t="shared" ca="1" si="5"/>
        <v>0</v>
      </c>
      <c r="W7" s="33">
        <f t="shared" ca="1" si="5"/>
        <v>0</v>
      </c>
      <c r="X7" s="33">
        <f t="shared" ca="1" si="5"/>
        <v>0</v>
      </c>
      <c r="Y7" s="33">
        <f t="shared" ca="1" si="5"/>
        <v>0</v>
      </c>
      <c r="Z7" s="33">
        <f t="shared" ca="1" si="5"/>
        <v>0</v>
      </c>
      <c r="AA7" s="33">
        <f t="shared" ca="1" si="5"/>
        <v>0</v>
      </c>
      <c r="AB7" s="33">
        <f t="shared" ca="1" si="5"/>
        <v>0</v>
      </c>
      <c r="AC7" s="33">
        <f t="shared" ca="1" si="5"/>
        <v>0</v>
      </c>
      <c r="AD7" s="33">
        <f t="shared" ca="1" si="5"/>
        <v>0</v>
      </c>
      <c r="AE7" s="33">
        <f t="shared" ca="1" si="5"/>
        <v>0</v>
      </c>
      <c r="AF7" s="33">
        <f t="shared" ca="1" si="5"/>
        <v>0</v>
      </c>
      <c r="AG7" s="33">
        <f t="shared" ca="1" si="5"/>
        <v>0</v>
      </c>
      <c r="AH7" s="33">
        <f t="shared" ca="1" si="5"/>
        <v>0</v>
      </c>
      <c r="AI7" s="33">
        <f t="shared" ca="1" si="5"/>
        <v>0</v>
      </c>
      <c r="AJ7" s="33">
        <f t="shared" ca="1" si="5"/>
        <v>0</v>
      </c>
      <c r="AK7" s="33">
        <f t="shared" ca="1" si="5"/>
        <v>0</v>
      </c>
      <c r="AL7" s="33">
        <f t="shared" ca="1" si="5"/>
        <v>0</v>
      </c>
      <c r="AM7" s="33">
        <f t="shared" ca="1" si="5"/>
        <v>0</v>
      </c>
      <c r="AN7" s="33">
        <f t="shared" ca="1" si="5"/>
        <v>0</v>
      </c>
    </row>
    <row r="11" spans="1:40">
      <c r="M11">
        <v>14000</v>
      </c>
      <c r="N11">
        <v>5200</v>
      </c>
      <c r="O11">
        <f>M11-N11</f>
        <v>8800</v>
      </c>
      <c r="P11">
        <f>O11/3</f>
        <v>2933.3333333333335</v>
      </c>
    </row>
    <row r="12" spans="1:40" ht="15">
      <c r="C12" s="37"/>
    </row>
  </sheetData>
  <sheetProtection sheet="1" objects="1" scenarios="1"/>
  <pageMargins left="0.78749999999999998" right="0.78749999999999998" top="1.0249999999999999" bottom="1.0249999999999999" header="0.78749999999999998" footer="0.78749999999999998"/>
  <pageSetup firstPageNumber="0" orientation="portrait" horizontalDpi="300" verticalDpi="300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6"/>
  <sheetViews>
    <sheetView workbookViewId="0">
      <selection activeCell="B2" sqref="B2:B3"/>
    </sheetView>
  </sheetViews>
  <sheetFormatPr defaultColWidth="11.5703125" defaultRowHeight="12.75"/>
  <sheetData>
    <row r="1" spans="1:23">
      <c r="A1" t="s">
        <v>119</v>
      </c>
      <c r="B1">
        <v>2010</v>
      </c>
      <c r="C1">
        <f t="shared" ref="C1:W1" si="0">B1+1</f>
        <v>2011</v>
      </c>
      <c r="D1">
        <f t="shared" si="0"/>
        <v>2012</v>
      </c>
      <c r="E1">
        <f t="shared" si="0"/>
        <v>2013</v>
      </c>
      <c r="F1">
        <f t="shared" si="0"/>
        <v>2014</v>
      </c>
      <c r="G1">
        <f t="shared" si="0"/>
        <v>2015</v>
      </c>
      <c r="H1">
        <f t="shared" si="0"/>
        <v>2016</v>
      </c>
      <c r="I1">
        <f t="shared" si="0"/>
        <v>2017</v>
      </c>
      <c r="J1">
        <f t="shared" si="0"/>
        <v>2018</v>
      </c>
      <c r="K1">
        <f t="shared" si="0"/>
        <v>2019</v>
      </c>
      <c r="L1">
        <f t="shared" si="0"/>
        <v>2020</v>
      </c>
      <c r="M1">
        <f t="shared" si="0"/>
        <v>2021</v>
      </c>
      <c r="N1">
        <f t="shared" si="0"/>
        <v>2022</v>
      </c>
      <c r="O1">
        <f t="shared" si="0"/>
        <v>2023</v>
      </c>
      <c r="P1">
        <f t="shared" si="0"/>
        <v>2024</v>
      </c>
      <c r="Q1">
        <f t="shared" si="0"/>
        <v>2025</v>
      </c>
      <c r="R1">
        <f t="shared" si="0"/>
        <v>2026</v>
      </c>
      <c r="S1">
        <f t="shared" si="0"/>
        <v>2027</v>
      </c>
      <c r="T1">
        <f t="shared" si="0"/>
        <v>2028</v>
      </c>
      <c r="U1">
        <f t="shared" si="0"/>
        <v>2029</v>
      </c>
      <c r="V1">
        <f t="shared" si="0"/>
        <v>2030</v>
      </c>
      <c r="W1">
        <f t="shared" si="0"/>
        <v>2031</v>
      </c>
    </row>
    <row r="2" spans="1:23">
      <c r="A2" t="s">
        <v>124</v>
      </c>
      <c r="B2" s="40">
        <v>4</v>
      </c>
      <c r="C2">
        <f t="shared" ref="C2:W2" si="1">B2+1</f>
        <v>5</v>
      </c>
      <c r="D2">
        <f t="shared" si="1"/>
        <v>6</v>
      </c>
      <c r="E2">
        <f t="shared" si="1"/>
        <v>7</v>
      </c>
      <c r="F2">
        <f t="shared" si="1"/>
        <v>8</v>
      </c>
      <c r="G2">
        <f t="shared" si="1"/>
        <v>9</v>
      </c>
      <c r="H2">
        <f t="shared" si="1"/>
        <v>10</v>
      </c>
      <c r="I2">
        <f t="shared" si="1"/>
        <v>11</v>
      </c>
      <c r="J2">
        <f t="shared" si="1"/>
        <v>12</v>
      </c>
      <c r="K2">
        <f t="shared" si="1"/>
        <v>13</v>
      </c>
      <c r="L2">
        <f t="shared" si="1"/>
        <v>14</v>
      </c>
      <c r="M2">
        <f t="shared" si="1"/>
        <v>15</v>
      </c>
      <c r="N2">
        <f t="shared" si="1"/>
        <v>16</v>
      </c>
      <c r="O2">
        <f t="shared" si="1"/>
        <v>17</v>
      </c>
      <c r="P2">
        <f t="shared" si="1"/>
        <v>18</v>
      </c>
      <c r="Q2">
        <f t="shared" si="1"/>
        <v>19</v>
      </c>
      <c r="R2">
        <f t="shared" si="1"/>
        <v>20</v>
      </c>
      <c r="S2">
        <f t="shared" si="1"/>
        <v>21</v>
      </c>
      <c r="T2">
        <f t="shared" si="1"/>
        <v>22</v>
      </c>
      <c r="U2">
        <f t="shared" si="1"/>
        <v>23</v>
      </c>
      <c r="V2">
        <f t="shared" si="1"/>
        <v>24</v>
      </c>
      <c r="W2">
        <f t="shared" si="1"/>
        <v>25</v>
      </c>
    </row>
    <row r="3" spans="1:23">
      <c r="A3" t="s">
        <v>125</v>
      </c>
      <c r="B3" s="40">
        <v>2</v>
      </c>
      <c r="C3">
        <f t="shared" ref="C3:W3" si="2">B3+1</f>
        <v>3</v>
      </c>
      <c r="D3">
        <f t="shared" si="2"/>
        <v>4</v>
      </c>
      <c r="E3">
        <f t="shared" si="2"/>
        <v>5</v>
      </c>
      <c r="F3">
        <f t="shared" si="2"/>
        <v>6</v>
      </c>
      <c r="G3">
        <f t="shared" si="2"/>
        <v>7</v>
      </c>
      <c r="H3">
        <f t="shared" si="2"/>
        <v>8</v>
      </c>
      <c r="I3">
        <f t="shared" si="2"/>
        <v>9</v>
      </c>
      <c r="J3">
        <f t="shared" si="2"/>
        <v>10</v>
      </c>
      <c r="K3">
        <f t="shared" si="2"/>
        <v>11</v>
      </c>
      <c r="L3">
        <f t="shared" si="2"/>
        <v>12</v>
      </c>
      <c r="M3">
        <f t="shared" si="2"/>
        <v>13</v>
      </c>
      <c r="N3">
        <f t="shared" si="2"/>
        <v>14</v>
      </c>
      <c r="O3">
        <f t="shared" si="2"/>
        <v>15</v>
      </c>
      <c r="P3">
        <f t="shared" si="2"/>
        <v>16</v>
      </c>
      <c r="Q3">
        <f t="shared" si="2"/>
        <v>17</v>
      </c>
      <c r="R3">
        <f t="shared" si="2"/>
        <v>18</v>
      </c>
      <c r="S3">
        <f t="shared" si="2"/>
        <v>19</v>
      </c>
      <c r="T3">
        <f t="shared" si="2"/>
        <v>20</v>
      </c>
      <c r="U3">
        <f t="shared" si="2"/>
        <v>21</v>
      </c>
      <c r="V3">
        <f t="shared" si="2"/>
        <v>22</v>
      </c>
      <c r="W3">
        <f t="shared" si="2"/>
        <v>23</v>
      </c>
    </row>
    <row r="4" spans="1:23">
      <c r="A4" t="s">
        <v>126</v>
      </c>
      <c r="B4">
        <f t="shared" ref="B4:W4" si="3">IF(AND(B2&lt;17,B2&gt;12),1,0)</f>
        <v>0</v>
      </c>
      <c r="C4">
        <f t="shared" si="3"/>
        <v>0</v>
      </c>
      <c r="D4">
        <f t="shared" si="3"/>
        <v>0</v>
      </c>
      <c r="E4">
        <f t="shared" si="3"/>
        <v>0</v>
      </c>
      <c r="F4">
        <f t="shared" si="3"/>
        <v>0</v>
      </c>
      <c r="G4">
        <f t="shared" si="3"/>
        <v>0</v>
      </c>
      <c r="H4">
        <f t="shared" si="3"/>
        <v>0</v>
      </c>
      <c r="I4">
        <f t="shared" si="3"/>
        <v>0</v>
      </c>
      <c r="J4">
        <f t="shared" si="3"/>
        <v>0</v>
      </c>
      <c r="K4">
        <f t="shared" si="3"/>
        <v>1</v>
      </c>
      <c r="L4">
        <f t="shared" si="3"/>
        <v>1</v>
      </c>
      <c r="M4">
        <f t="shared" si="3"/>
        <v>1</v>
      </c>
      <c r="N4">
        <f t="shared" si="3"/>
        <v>1</v>
      </c>
      <c r="O4">
        <f t="shared" si="3"/>
        <v>0</v>
      </c>
      <c r="P4">
        <f t="shared" si="3"/>
        <v>0</v>
      </c>
      <c r="Q4">
        <f t="shared" si="3"/>
        <v>0</v>
      </c>
      <c r="R4">
        <f t="shared" si="3"/>
        <v>0</v>
      </c>
      <c r="S4">
        <f t="shared" si="3"/>
        <v>0</v>
      </c>
      <c r="T4">
        <f t="shared" si="3"/>
        <v>0</v>
      </c>
      <c r="U4">
        <f t="shared" si="3"/>
        <v>0</v>
      </c>
      <c r="V4">
        <f t="shared" si="3"/>
        <v>0</v>
      </c>
      <c r="W4">
        <f t="shared" si="3"/>
        <v>0</v>
      </c>
    </row>
    <row r="5" spans="1:23">
      <c r="A5" t="s">
        <v>127</v>
      </c>
      <c r="B5">
        <f t="shared" ref="B5:W5" si="4">IF(AND(B3&lt;17,B3&gt;12),1,0)</f>
        <v>0</v>
      </c>
      <c r="C5">
        <f t="shared" si="4"/>
        <v>0</v>
      </c>
      <c r="D5">
        <f t="shared" si="4"/>
        <v>0</v>
      </c>
      <c r="E5">
        <f t="shared" si="4"/>
        <v>0</v>
      </c>
      <c r="F5">
        <f t="shared" si="4"/>
        <v>0</v>
      </c>
      <c r="G5">
        <f t="shared" si="4"/>
        <v>0</v>
      </c>
      <c r="H5">
        <f t="shared" si="4"/>
        <v>0</v>
      </c>
      <c r="I5">
        <f t="shared" si="4"/>
        <v>0</v>
      </c>
      <c r="J5">
        <f t="shared" si="4"/>
        <v>0</v>
      </c>
      <c r="K5">
        <f t="shared" si="4"/>
        <v>0</v>
      </c>
      <c r="L5">
        <f t="shared" si="4"/>
        <v>0</v>
      </c>
      <c r="M5">
        <f t="shared" si="4"/>
        <v>1</v>
      </c>
      <c r="N5">
        <f t="shared" si="4"/>
        <v>1</v>
      </c>
      <c r="O5">
        <f t="shared" si="4"/>
        <v>1</v>
      </c>
      <c r="P5">
        <f t="shared" si="4"/>
        <v>1</v>
      </c>
      <c r="Q5">
        <f t="shared" si="4"/>
        <v>0</v>
      </c>
      <c r="R5">
        <f t="shared" si="4"/>
        <v>0</v>
      </c>
      <c r="S5">
        <f t="shared" si="4"/>
        <v>0</v>
      </c>
      <c r="T5">
        <f t="shared" si="4"/>
        <v>0</v>
      </c>
      <c r="U5">
        <f t="shared" si="4"/>
        <v>0</v>
      </c>
      <c r="V5">
        <f t="shared" si="4"/>
        <v>0</v>
      </c>
      <c r="W5">
        <f t="shared" si="4"/>
        <v>0</v>
      </c>
    </row>
    <row r="6" spans="1:23">
      <c r="A6" t="s">
        <v>12</v>
      </c>
      <c r="B6">
        <f t="shared" ref="B6:W6" si="5">SUM(B4:B5)</f>
        <v>0</v>
      </c>
      <c r="C6">
        <f t="shared" si="5"/>
        <v>0</v>
      </c>
      <c r="D6">
        <f t="shared" si="5"/>
        <v>0</v>
      </c>
      <c r="E6">
        <f t="shared" si="5"/>
        <v>0</v>
      </c>
      <c r="F6">
        <f t="shared" si="5"/>
        <v>0</v>
      </c>
      <c r="G6">
        <f t="shared" si="5"/>
        <v>0</v>
      </c>
      <c r="H6">
        <f t="shared" si="5"/>
        <v>0</v>
      </c>
      <c r="I6">
        <f t="shared" si="5"/>
        <v>0</v>
      </c>
      <c r="J6">
        <f t="shared" si="5"/>
        <v>0</v>
      </c>
      <c r="K6">
        <f t="shared" si="5"/>
        <v>1</v>
      </c>
      <c r="L6">
        <f t="shared" si="5"/>
        <v>1</v>
      </c>
      <c r="M6">
        <f t="shared" si="5"/>
        <v>2</v>
      </c>
      <c r="N6">
        <f t="shared" si="5"/>
        <v>2</v>
      </c>
      <c r="O6">
        <f t="shared" si="5"/>
        <v>1</v>
      </c>
      <c r="P6">
        <f t="shared" si="5"/>
        <v>1</v>
      </c>
      <c r="Q6">
        <f t="shared" si="5"/>
        <v>0</v>
      </c>
      <c r="R6">
        <f t="shared" si="5"/>
        <v>0</v>
      </c>
      <c r="S6">
        <f t="shared" si="5"/>
        <v>0</v>
      </c>
      <c r="T6">
        <f t="shared" si="5"/>
        <v>0</v>
      </c>
      <c r="U6">
        <f t="shared" si="5"/>
        <v>0</v>
      </c>
      <c r="V6">
        <f t="shared" si="5"/>
        <v>0</v>
      </c>
      <c r="W6">
        <f t="shared" si="5"/>
        <v>0</v>
      </c>
    </row>
  </sheetData>
  <sheetProtection sheet="1" objects="1" scenarios="1"/>
  <pageMargins left="0.78749999999999998" right="0.78749999999999998" top="1.0249999999999999" bottom="1.0249999999999999" header="0.78749999999999998" footer="0.78749999999999998"/>
  <pageSetup firstPageNumber="0" orientation="portrait" horizontalDpi="300" verticalDpi="300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1"/>
  <sheetViews>
    <sheetView workbookViewId="0">
      <selection activeCell="B1" sqref="B1"/>
    </sheetView>
  </sheetViews>
  <sheetFormatPr defaultRowHeight="12.75"/>
  <sheetData>
    <row r="1" spans="1:2">
      <c r="A1" t="s">
        <v>113</v>
      </c>
      <c r="B1">
        <f ca="1">+YEAR(TODAY())</f>
        <v>2017</v>
      </c>
    </row>
  </sheetData>
  <sheetProtection sheet="1" objects="1" scenarios="1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20</vt:i4>
      </vt:variant>
    </vt:vector>
  </HeadingPairs>
  <TitlesOfParts>
    <vt:vector size="25" baseType="lpstr">
      <vt:lpstr>Growth</vt:lpstr>
      <vt:lpstr>Cruise Costs</vt:lpstr>
      <vt:lpstr>Retirement</vt:lpstr>
      <vt:lpstr>Other Calcs</vt:lpstr>
      <vt:lpstr>Constants</vt:lpstr>
      <vt:lpstr>APR_on_Inv</vt:lpstr>
      <vt:lpstr>Boat_Bought_Year</vt:lpstr>
      <vt:lpstr>Boat_Cost</vt:lpstr>
      <vt:lpstr>Boat_Payment</vt:lpstr>
      <vt:lpstr>Boat_Term</vt:lpstr>
      <vt:lpstr>Cash_for_Boat</vt:lpstr>
      <vt:lpstr>College_count</vt:lpstr>
      <vt:lpstr>College_yr</vt:lpstr>
      <vt:lpstr>Cost_of_boat</vt:lpstr>
      <vt:lpstr>Financed</vt:lpstr>
      <vt:lpstr>House_Sale_Net</vt:lpstr>
      <vt:lpstr>Monthly_estimate</vt:lpstr>
      <vt:lpstr>Months_of_saving</vt:lpstr>
      <vt:lpstr>Growth!Print_Area</vt:lpstr>
      <vt:lpstr>Growth!Print_Titles</vt:lpstr>
      <vt:lpstr>Real_payment</vt:lpstr>
      <vt:lpstr>Starting_Cash</vt:lpstr>
      <vt:lpstr>Term</vt:lpstr>
      <vt:lpstr>This_Year</vt:lpstr>
      <vt:lpstr>Year_of_Departure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</dc:creator>
  <cp:lastModifiedBy>B.J. Porter</cp:lastModifiedBy>
  <dcterms:created xsi:type="dcterms:W3CDTF">2010-12-01T16:59:47Z</dcterms:created>
  <dcterms:modified xsi:type="dcterms:W3CDTF">2017-03-24T02:56:40Z</dcterms:modified>
</cp:coreProperties>
</file>